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</sheets>
  <definedNames>
    <definedName name="_xlnm.Print_Titles" localSheetId="0">'Работы'!$3:$3</definedName>
  </definedNames>
  <calcPr fullCalcOnLoad="1" refMode="R1C1"/>
</workbook>
</file>

<file path=xl/sharedStrings.xml><?xml version="1.0" encoding="utf-8"?>
<sst xmlns="http://schemas.openxmlformats.org/spreadsheetml/2006/main" count="950" uniqueCount="658">
  <si>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</si>
  <si>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</si>
  <si>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</si>
  <si>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</si>
  <si>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</si>
  <si>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</si>
  <si>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</si>
  <si>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</si>
  <si>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</si>
  <si>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</si>
  <si>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Стоимость, руб.</t>
  </si>
  <si>
    <t>Конструктивные элементы</t>
  </si>
  <si>
    <t>Усиление фундаментов цементацией</t>
  </si>
  <si>
    <t>100 м3 фундамента</t>
  </si>
  <si>
    <t>Устранение повреждений железобетонных фундаментов</t>
  </si>
  <si>
    <t>м3</t>
  </si>
  <si>
    <t>Восстановление (ремонт)  решеток на  продухах  фундамента</t>
  </si>
  <si>
    <t>100 решеток</t>
  </si>
  <si>
    <t>Восстановление (ремонт)  приямков</t>
  </si>
  <si>
    <t>кв.м. приямка</t>
  </si>
  <si>
    <t>Восстановление (ремонт) отмостки</t>
  </si>
  <si>
    <t>100 м2 отмостки</t>
  </si>
  <si>
    <t>Ремонт поверхности кирпичных стен с расшивкой швов и толщиной заделки до 1/2 кирпича</t>
  </si>
  <si>
    <t>100 м2 отремонтированной поверхности</t>
  </si>
  <si>
    <t>Укрепление слабодержащихся кирпичей</t>
  </si>
  <si>
    <t>100 м2  отремонтированной поверхности</t>
  </si>
  <si>
    <t>Заделка отверстий в бетонных и железобетонных стенах и перегородках с площадью отверстий до 0,1 кв.м и глубиной до 100 мм</t>
  </si>
  <si>
    <t>100 отверстий</t>
  </si>
  <si>
    <t>Заделка отверстий в бетонных и железобетонных стенах и перегородках с площадью отверстий до 0,1 кв.м и глубиной до 150 мм</t>
  </si>
  <si>
    <t>Заделка отверстий в бетонных и железобетонных стенах и перегородках с площадью отверстий до 0,2 кв.м и глубиной до 100 мм</t>
  </si>
  <si>
    <t>Заделка отверстий в бетонных и железобетонных стенах и перегородках с площадью отверстий до 0,2 кв.м и глубиной до 150 мм</t>
  </si>
  <si>
    <t>Ремонт обыкновенной штукатурки  фасадов каменных стен с прорезкой рустов</t>
  </si>
  <si>
    <t>Известковое окрашивание оштукатуренных гладких фасадов</t>
  </si>
  <si>
    <t>100 м2 обработанной поверхности</t>
  </si>
  <si>
    <t>Окрашивание гладких кирпичных фасадов силикатными красками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</si>
  <si>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</si>
  <si>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</si>
  <si>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</si>
  <si>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Улучшенная масляная окраска ранее окрашенных поверхностей</t>
  </si>
  <si>
    <t>Ремонт внутренней штукатурки потолков отдельными местами</t>
  </si>
  <si>
    <t>100 кв. м</t>
  </si>
  <si>
    <t>Простая клеевая окраска потолков</t>
  </si>
  <si>
    <t>Улучшенная клеевая окраска потолков</t>
  </si>
  <si>
    <t>Известковая окраска ранее окрашенных поверхностей потолков</t>
  </si>
  <si>
    <t>100 кв.м</t>
  </si>
  <si>
    <t>Простая масляная окраска ранее окрашенных потолков</t>
  </si>
  <si>
    <t>Улучшенная масляная окраска ранее окрашенных потолков</t>
  </si>
  <si>
    <t>Установка групповых металлических почтовых ящиков на 6 отделений</t>
  </si>
  <si>
    <t>1 ящик</t>
  </si>
  <si>
    <t>Восстановление козырьков</t>
  </si>
  <si>
    <t>кв.м.</t>
  </si>
  <si>
    <t>Восстановление организованного отвода воды с балконов, лоджий, козырьков и эркеров</t>
  </si>
  <si>
    <t>100 кв.м. фасадов</t>
  </si>
  <si>
    <t>Восстановление ограждающих решеток</t>
  </si>
  <si>
    <t>1 м. решетки</t>
  </si>
  <si>
    <t>Простая масляная окраска элементов балконов, лоджий, эркеров и козырьков с лестниц</t>
  </si>
  <si>
    <t>100 кв.м.</t>
  </si>
  <si>
    <t>Ремонт покрытия полов из керамических плиток до 10 шт. размерами 300 мм*300 мм</t>
  </si>
  <si>
    <t>10 плиток</t>
  </si>
  <si>
    <t>Ремонт покрытия полов из линолеума</t>
  </si>
  <si>
    <t>м2 отремонтированного пола</t>
  </si>
  <si>
    <t>Ремонт бетонных полов</t>
  </si>
  <si>
    <t>Ремонт поверхности цементных полов</t>
  </si>
  <si>
    <t>Выравнивание поверхности бетонных и цементных оснований под полы</t>
  </si>
  <si>
    <t>100 м2</t>
  </si>
  <si>
    <t>Восстановление облицовки перегородок из керамических плиток со сменой плиток в одном месте до 10 штук</t>
  </si>
  <si>
    <t>100 плиток</t>
  </si>
  <si>
    <t>Восстановление облицовки перегородок из керамических плиток со сменой плиток в одном месте более 10 штук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</si>
  <si>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 кв.м.</t>
  </si>
  <si>
    <t>Смена поврежденных листов асбоцементных кровель</t>
  </si>
  <si>
    <t>100 м2 сменяемого покрытия</t>
  </si>
  <si>
    <t>Постановка заплат на покрытия из кровельной стали, при размере заплат 1/4 листа</t>
  </si>
  <si>
    <t>100 заплат</t>
  </si>
  <si>
    <t>Постановка заплат на покрытия из кровельной стали, при размере заплат 1/2 листа</t>
  </si>
  <si>
    <t>Промазка свищей в покрытии из кровельной стали</t>
  </si>
  <si>
    <t>1000 свищей</t>
  </si>
  <si>
    <t>Постановка заплат на покрытия из мягкой кровли</t>
  </si>
  <si>
    <t>100 м2 покрытий</t>
  </si>
  <si>
    <t>Смена вентиляционной решетки</t>
  </si>
  <si>
    <t>10 решеток</t>
  </si>
  <si>
    <t>Ремонт продухов вентиляции</t>
  </si>
  <si>
    <t>Окраска продухов вентиляции</t>
  </si>
  <si>
    <t>Оштукатуривание поверхности дымовых труб</t>
  </si>
  <si>
    <t xml:space="preserve">100 м2 поверхности </t>
  </si>
  <si>
    <t>Смена  дефлектора</t>
  </si>
  <si>
    <t>100 дефлекторов</t>
  </si>
  <si>
    <t>Окрашивание дефлектора спецсоставом с алюминиевой пудрой</t>
  </si>
  <si>
    <t>100  м2 окрашиваемой поверхности</t>
  </si>
  <si>
    <t>Окраска масляными составами ранее окрашенных металлических лестниц и дверей на крышу за 1 раз</t>
  </si>
  <si>
    <t>Окраска деревянных лестниц и  дверей выхода на крышу</t>
  </si>
  <si>
    <t>Ремонт обыкновенной штукатурки гладких каменных фасадов отдельными местами</t>
  </si>
  <si>
    <t>Смена покрытия  парапетов или брандмауэров без обделки боковых сторон при ширине покрытия до 1 м</t>
  </si>
  <si>
    <t>100 м</t>
  </si>
  <si>
    <t>Смена покрытия  парапетов или брандмауэров с обделкой боковых сторон при ширине покрытия до 1,75 м.</t>
  </si>
  <si>
    <t>Смена покрытия   зонтов и козырьков над крыльцами и подъездами</t>
  </si>
  <si>
    <t>100 м2 объема работ</t>
  </si>
  <si>
    <t>Масляная окраска  парапетов, архитектурных деталей</t>
  </si>
  <si>
    <t>Ремонт водосточных труб с земли и подмостей</t>
  </si>
  <si>
    <t>100 м трубы</t>
  </si>
  <si>
    <t>Ремонт водосточных труб с люлек</t>
  </si>
  <si>
    <t>Смена прямых звеньев водосточных труб</t>
  </si>
  <si>
    <t>Смена воронок</t>
  </si>
  <si>
    <t>100 шт.</t>
  </si>
  <si>
    <t>Масляная окраска  водосточных труб</t>
  </si>
  <si>
    <t>Смена обделок примыканий из листовой стали к каменным стенам</t>
  </si>
  <si>
    <t>Смена обделок примыканий из листовой стали к  дымовым трубам</t>
  </si>
  <si>
    <t>100 труб</t>
  </si>
  <si>
    <t>Смена обделок примыканий из листовой стали к  вытяжным  трубам длиной до 1 м</t>
  </si>
  <si>
    <t>Масляная окраска ранее окрашенных поверхностей</t>
  </si>
  <si>
    <t>Замена обивки дверей стальным листом</t>
  </si>
  <si>
    <t>100  м2 двери</t>
  </si>
  <si>
    <t>Ремонт дверных коробок в узких каменных стенах</t>
  </si>
  <si>
    <t>10 коробок</t>
  </si>
  <si>
    <t>Ремонт дверных коробок в широких каменных стенах</t>
  </si>
  <si>
    <t>Ремонт порогов шириной 100 мм</t>
  </si>
  <si>
    <t>100 отремонтированных мест</t>
  </si>
  <si>
    <t>Ремонт порогов шириной 150 мм</t>
  </si>
  <si>
    <t>Смена дверных петель при одной сменяемой петле в полотне</t>
  </si>
  <si>
    <t>10 петель</t>
  </si>
  <si>
    <t>Смена дверных петель при двух сменяемых петлях в полотне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</si>
  <si>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</si>
  <si>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</si>
  <si>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</si>
  <si>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</si>
  <si>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</si>
  <si>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</si>
  <si>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</si>
  <si>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щеколды</t>
  </si>
  <si>
    <t>100 щеколд</t>
  </si>
  <si>
    <t>Смена замков накладных</t>
  </si>
  <si>
    <t>100 замков</t>
  </si>
  <si>
    <t>Смена замков врезных</t>
  </si>
  <si>
    <t>Восстановление (модернизация) остекления дверей</t>
  </si>
  <si>
    <t>Простая масляная окраска дверей</t>
  </si>
  <si>
    <t>Улучшенная масляная окраска дверей</t>
  </si>
  <si>
    <t>Установка дверного доводчика к металлическим дверям</t>
  </si>
  <si>
    <t>1 доводчик</t>
  </si>
  <si>
    <t>Установка дверей и заслонок в проемах подвальных и чердачных помещений</t>
  </si>
  <si>
    <t>1 полотно</t>
  </si>
  <si>
    <t>Ремонт оконных переплетов узких одинарных коробок со спаренными переплетами</t>
  </si>
  <si>
    <t>10 створок</t>
  </si>
  <si>
    <t>Ремонт оконных переплетов широких составных коробок</t>
  </si>
  <si>
    <t>Ремонт форточек</t>
  </si>
  <si>
    <t>10 форточек</t>
  </si>
  <si>
    <t>Ремонт подоконных досок</t>
  </si>
  <si>
    <t>1 м подоконной доски</t>
  </si>
  <si>
    <t>Смена оконных петель при одной сменяемой петле в створке</t>
  </si>
  <si>
    <t>Смена оконных петель при двух сменяемых петлях в створке</t>
  </si>
  <si>
    <t>Укрепление наличников оконных проемов</t>
  </si>
  <si>
    <t>Временная замена разбитого стекла фанерой</t>
  </si>
  <si>
    <t>10 кв.м.</t>
  </si>
  <si>
    <t>Смена ручки оконной</t>
  </si>
  <si>
    <t>100 ручек</t>
  </si>
  <si>
    <t>Смена задвижки</t>
  </si>
  <si>
    <t>100 задвижек</t>
  </si>
  <si>
    <t>Простая масляная окраска оконных рам</t>
  </si>
  <si>
    <t>Улучшенная масляная окраска оконных рам</t>
  </si>
  <si>
    <t>Установка водоотливов с высотой проемов до 1 м</t>
  </si>
  <si>
    <t>100 кв.м. проемов</t>
  </si>
  <si>
    <t>Установка водоотливов с высотой проемов 1-2 м</t>
  </si>
  <si>
    <t>Замена негодных деревянных жалюзей слуховых окон с изготовлением их</t>
  </si>
  <si>
    <t>1 штука</t>
  </si>
  <si>
    <t>Малый ремонт слухового окна с исправлением обшивки и переплета</t>
  </si>
  <si>
    <t>1 место</t>
  </si>
  <si>
    <t>Замена одностворных дверей на врезных шпонках</t>
  </si>
  <si>
    <t>Замена двустворных дверей на врезных шпонках</t>
  </si>
  <si>
    <t>Замена одностворных дверей на планках</t>
  </si>
  <si>
    <t>Замена двустворных дверей на планках</t>
  </si>
  <si>
    <t>Смена створок оконных переплетов узких одинарных коробок</t>
  </si>
  <si>
    <t>1 створка</t>
  </si>
  <si>
    <t>Смена створок оконных переплетов узких одинарных коробок со спаренными переплетами</t>
  </si>
  <si>
    <t>Смена створок оконных переплетов широких составных коробок</t>
  </si>
  <si>
    <t>Установка в жилых зданиях блоков оконных с переплетами спаренными в стенах деревянных рубленых площадью проема до 2 кв.м.</t>
  </si>
  <si>
    <t>100 м2 проемов</t>
  </si>
  <si>
    <t>Обивка дверей теплоизолирующим материалом</t>
  </si>
  <si>
    <t>100 кв.м. двери</t>
  </si>
  <si>
    <t>Проконопачивание и укрепление дверных коробок</t>
  </si>
  <si>
    <t>100 коробок</t>
  </si>
  <si>
    <t>Обивка дверей оцинкованной кровельной сталью</t>
  </si>
  <si>
    <t>Восстановление (ремонт) дверных и оконных откосов в каменных стенах</t>
  </si>
  <si>
    <t>1 кв.м. откоса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</si>
  <si>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</si>
  <si>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</si>
  <si>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Ремонт металлических косоуров  с применением дуговой сварки</t>
  </si>
  <si>
    <t>1 балка</t>
  </si>
  <si>
    <t>Оштукатуривание металлических косоуров</t>
  </si>
  <si>
    <t>100 м2 оштукатуренной поверхности</t>
  </si>
  <si>
    <t>Ремонт металлических лестничных решеток</t>
  </si>
  <si>
    <t>100 м решетки</t>
  </si>
  <si>
    <t>Укрепление стоек металлических решеток ограждения  лестниц и площадок</t>
  </si>
  <si>
    <t>100 укрепляемых  стоек</t>
  </si>
  <si>
    <t>Смена прямых  частей поручней</t>
  </si>
  <si>
    <t>Смена закругленных  частей поручней</t>
  </si>
  <si>
    <t>Изготовление прямых частей  поручня</t>
  </si>
  <si>
    <t>Изготовление  закруглений с марша на марш</t>
  </si>
  <si>
    <t>Изготовление  закруглений с марша на площадку</t>
  </si>
  <si>
    <t>Постановка заделок в тело поручней</t>
  </si>
  <si>
    <t>100 заделок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</si>
  <si>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</si>
  <si>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</si>
  <si>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Окраска масляными составами ранее окрашенных металлических решеток без рельефа за 2 раза</t>
  </si>
  <si>
    <t>Заделка трещин и мелких выбоин</t>
  </si>
  <si>
    <t>100 мест</t>
  </si>
  <si>
    <t>Заделка отбитых мест</t>
  </si>
  <si>
    <t>Заделка выбоин в каменных ступенях</t>
  </si>
  <si>
    <t>100 м2 заделанной поверхности</t>
  </si>
  <si>
    <t>Внутридомовое инженерное оборудование и технические устройства</t>
  </si>
  <si>
    <t>Ремонт стального водогрейного котла мощностью до 0,55 Гкал/ч</t>
  </si>
  <si>
    <t>котел</t>
  </si>
  <si>
    <t>Замена горелок</t>
  </si>
  <si>
    <t>Прочистка секций котла</t>
  </si>
  <si>
    <t>Смена отдельных участков трубопроводов из стальных электросварных труб  диаметром 40 мм</t>
  </si>
  <si>
    <t>100 м трубопровода</t>
  </si>
  <si>
    <t>Смена отдельных участков трубопроводов из стальных электросварных труб   диаметром 50 мм</t>
  </si>
  <si>
    <t>Смена отдельных участков трубопроводов из стальных электросварных труб   диаметром 65 мм</t>
  </si>
  <si>
    <t>Смена отдельных участков трубопроводов из стальных электросварных труб   диаметром  80 мм</t>
  </si>
  <si>
    <t>Смена отдельных участков трубопроводов из стальных электросварных труб диаметром 100 мм</t>
  </si>
  <si>
    <t>Смена отдельных участков трубопроводов из стальных электросварных труб диаметром 125 мм</t>
  </si>
  <si>
    <t>Смена отдельных участков трубопроводов из стальных электросварных труб диаметром 150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</si>
  <si>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20 мм</t>
  </si>
  <si>
    <t>пог.м.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</si>
  <si>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25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</si>
  <si>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</si>
  <si>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Смена радиаторных блоков, вес радиаторного блока до 80 кг</t>
  </si>
  <si>
    <t>100 радиаторных блоков</t>
  </si>
  <si>
    <t>Смена радиаторных блоков, вес радиаторного блока свыше 80 до 160 кг</t>
  </si>
  <si>
    <t>Добавление секций к алюминиевому радиаторному блоку</t>
  </si>
  <si>
    <t>100 секций</t>
  </si>
  <si>
    <t>Добавление секций к чугунному радиаторному блоку</t>
  </si>
  <si>
    <t>Утепление трубопровода центрального отопления (водоснабжения)</t>
  </si>
  <si>
    <t>100 м2 утепленного участка</t>
  </si>
  <si>
    <t>Восстановление разрушенной тепловой изоляции шнуром асбестовым</t>
  </si>
  <si>
    <t>100 м2 восстановленного участка</t>
  </si>
  <si>
    <t>Восстановление разрушенной тепловой изоляции шнуром минераловатным</t>
  </si>
  <si>
    <t>Восстановление разрушенной тепловой изоляции минераловатными матами</t>
  </si>
  <si>
    <t>Ремонт прибора учета</t>
  </si>
  <si>
    <t>прибор</t>
  </si>
  <si>
    <t>Замена прибора учета</t>
  </si>
  <si>
    <t>Ремонт элеваторного узла с выходным проходом 50 мм</t>
  </si>
  <si>
    <t>1 узел</t>
  </si>
  <si>
    <t>Ремонт элеваторного узла с выходным проходом 80 мм</t>
  </si>
  <si>
    <t>узел</t>
  </si>
  <si>
    <t>Ремонт элеваторного узла с выходным проходом 100 мм</t>
  </si>
  <si>
    <t>Замена элеватора № 1-5</t>
  </si>
  <si>
    <t>Замена элеватора № 6-7</t>
  </si>
  <si>
    <t>Ремонт центробежных насосов</t>
  </si>
  <si>
    <t>насос</t>
  </si>
  <si>
    <t>Ремонт насосов малой мощности, диаметр патрубка 25 мм</t>
  </si>
  <si>
    <t>100 насосов</t>
  </si>
  <si>
    <t>Ремонт насосов малой мощности, диаметр патрубка 40 мм</t>
  </si>
  <si>
    <t>Ремонт насосов малой мощности, диаметр патрубка 50 мм</t>
  </si>
  <si>
    <t>Смена параллельной задвижки,  диаметром до 100 мм</t>
  </si>
  <si>
    <t>Смена параллельной задвижки,  диаметром до 150 мм</t>
  </si>
  <si>
    <t>Смена параллельной задвижки,  диаметром до 200 мм</t>
  </si>
  <si>
    <t>Снятие, прочистка и установка параллельной задвижки диаметром  100 мм</t>
  </si>
  <si>
    <t>Снятие, прочистка и установка параллельной задвижки диаметром  150 мм</t>
  </si>
  <si>
    <t>Смена кранов двойной регулировки диаметром прохода 15 мм</t>
  </si>
  <si>
    <t>100 кранов</t>
  </si>
  <si>
    <t>Смена кранов двойной регулировки диаметром прохода 19 мм</t>
  </si>
  <si>
    <t>Смена кранов двойной регулировки диаметром прохода 32 мм</t>
  </si>
  <si>
    <t>Смена вентиля диаметром до 25 мм</t>
  </si>
  <si>
    <t>100 вентилей</t>
  </si>
  <si>
    <t>Смена вентиля диаметром 25 мм</t>
  </si>
  <si>
    <t>Смена вентиля диаметром свыше 26 до 50  мм</t>
  </si>
  <si>
    <t>Установка кранов для спуска воздуха из системы, диаметр крана 15-20 мм</t>
  </si>
  <si>
    <t>Установка кранов для спуска воздуха из системы, диаметр крана 21-25 мм</t>
  </si>
  <si>
    <t xml:space="preserve">Установка линейных балансировочных вентилей и балансировка системы отопления, диаметром до 20 мм </t>
  </si>
  <si>
    <t>1 прибор</t>
  </si>
  <si>
    <t>Установка линейных балансировочных вентилей и балансировка системы отопления, диаметром до 32 мм</t>
  </si>
  <si>
    <t>Установка линейных балансировочных вентилей и балансировка системы отопления, диаметром до 40 мм</t>
  </si>
  <si>
    <t>Установка линейных балансировочных вентилей и балансировка системы отопления, диаметром до 50 мм</t>
  </si>
  <si>
    <t>Установка прибора учета тепловой энергии, горячей воды, диаметром до 50 мм</t>
  </si>
  <si>
    <t>Установка прибора учета тепловой энергии, горячей воды, диаметром 50-100 мм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</si>
  <si>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</si>
  <si>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</si>
  <si>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Смена отдельных участков трубопроводов   водоснабжения из стальных водогазопроводных оцинкованных труб диаметром  20 мм</t>
  </si>
  <si>
    <t>Смена отдельных участков трубопроводов водоснабжения из стальных водогазопроводных оцинкованных труб диаметром  25 мм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</si>
  <si>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</si>
  <si>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</si>
  <si>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</si>
  <si>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65 мм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</si>
  <si>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</si>
  <si>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</si>
  <si>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80 мм</t>
  </si>
  <si>
    <t>Смена отдельных участков трубопроводов  водоснабжения из стальных электросварных труб диаметром 40 мм</t>
  </si>
  <si>
    <t>Смена отдельных участков трубопроводов  водоснабжения из стальных электросварных труб диаметром 50 мм</t>
  </si>
  <si>
    <t>Смена отдельных участков трубопроводов водоснабжения из стальных электросварных труб диаметром 65 мм</t>
  </si>
  <si>
    <t>Смена отдельных участков трубопроводов  водоснабжения из стальных электросварных труб диаметром 80 мм</t>
  </si>
  <si>
    <t>Замена внутренних водопроводов из стальных труб   на металлопластиковые, диаметром 20 мм</t>
  </si>
  <si>
    <t>Замена внутренних водопроводов из стальных труб   на металлопластиковые, диаметром 25 мм</t>
  </si>
  <si>
    <t>Временная заделка свищей и трещин на внутренних трубопроводах и стояках при диаметре трубопровода до 50 мм</t>
  </si>
  <si>
    <t>Временная заделка свищей и трещин на внутренних трубопроводах и стояках при диаметре трубопровода до 75 мм</t>
  </si>
  <si>
    <t>Смена сгонов у трубопроводов диаметром до 20 мм</t>
  </si>
  <si>
    <t>100 сгонов</t>
  </si>
  <si>
    <t>Смена сгонов у трубопроводов диаметром до 32 мм</t>
  </si>
  <si>
    <t>Смена сгонов у трубопроводов диаметром до 50 мм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</si>
  <si>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</si>
  <si>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</si>
  <si>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Уплотнение сгонов с применением льняной пряди или асбестового шнура (без разборки сгонов) диаметром до 32 мм</t>
  </si>
  <si>
    <t>Уплотнение сгонов с применением льняной пряди или асбестового шнура (без разборки сгонов) диаметром до 50 мм</t>
  </si>
  <si>
    <t>Уплотнение сгонов с применением ленты ФУМ (без разборки сгонов) диаметром до 50 мм</t>
  </si>
  <si>
    <t>Гидравлическое испытание теплообменника (водонагревателя)  поверхностью нагрева  до 16 кв.м</t>
  </si>
  <si>
    <t>1 теплообменник (бойлер)</t>
  </si>
  <si>
    <t>Теплоизоляция сетей  горячего  водоснабжения</t>
  </si>
  <si>
    <t>Окраска масляными составами ранее окрашенных поверхностей  стальных труб горячего водоснабжения за 1 раз</t>
  </si>
  <si>
    <t>100 м2 окрашиваемой поверхности</t>
  </si>
  <si>
    <t>Окраска масляными составами ранее окрашенных поверхностей  стальных труб горячего водоснабжения за 2 раза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</si>
  <si>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</si>
  <si>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</si>
  <si>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</si>
  <si>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задвижек диаметром до 50 мм</t>
  </si>
  <si>
    <t>Смена задвижек диаметром до 100 мм</t>
  </si>
  <si>
    <t>Смена задвижек диаметром до 150 мм</t>
  </si>
  <si>
    <t>Замена внутренних пожарных кранов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</si>
  <si>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</si>
  <si>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</si>
  <si>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50 мм</t>
  </si>
  <si>
    <t>Смена вертикальных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</si>
  <si>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150 мм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</si>
  <si>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</si>
  <si>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</si>
  <si>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Смена отдельных участков чугунных труб и внутренних чугунных канализационных выпусков при диаметре канализационного выпуска 150 мм</t>
  </si>
  <si>
    <t>Подчеканка раструбов чугунных  канализационных труб диаметром до 50 мм</t>
  </si>
  <si>
    <t>100  раструбов</t>
  </si>
  <si>
    <t>Подчеканка раструбов чугунных  канализационных труб диаметром до 75 мм</t>
  </si>
  <si>
    <t>Подчеканка раструбов  чугунных  канализационных труб диаметром до 100 мм</t>
  </si>
  <si>
    <t>Подчеканка раструбов  чугунных  канализационных труб диаметром до 125 мм</t>
  </si>
  <si>
    <t>Устранение засоров внутренних канализационных трубопроводов</t>
  </si>
  <si>
    <t>Заделка стыков соединений стояков внутренних водостоков</t>
  </si>
  <si>
    <t>100 соединений</t>
  </si>
  <si>
    <t>Смена трапа чугунного диаметром 50 мм</t>
  </si>
  <si>
    <t>100 трапов</t>
  </si>
  <si>
    <t>Смена трапа чугунного диаметром 100 мм</t>
  </si>
  <si>
    <t>Набивка сальников компенсационных патрубков на стояках внутренних водостоков</t>
  </si>
  <si>
    <t>100 патрубков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</si>
  <si>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</si>
  <si>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</si>
  <si>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Очистка стальной щеткой старых чугунных труб и фасонных частей от нароста и грязи при диаметре трубопровода до 75 мм</t>
  </si>
  <si>
    <t>Очистка стальной щеткой старых чугунных труб и фасонных частей от нароста и грязи при диаметре трубопровода до 100 мм</t>
  </si>
  <si>
    <t>Окраска масляными составами ранее окрашенных поверхностей  чугунных труб за 1 раз</t>
  </si>
  <si>
    <t>Окраска масляными составами ранее окрашенных поверхностей  чугунных труб за 2 раза</t>
  </si>
  <si>
    <t>Окраска масляными составами элементов трубопровода за 1 раз</t>
  </si>
  <si>
    <t>Окраска масляными составами элементов трубопровода за 2 раза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</si>
  <si>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</si>
  <si>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</si>
  <si>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</si>
  <si>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</si>
  <si>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реле</t>
  </si>
  <si>
    <t>1 реле</t>
  </si>
  <si>
    <t>Замена предохранителя</t>
  </si>
  <si>
    <t>1 предохранитель</t>
  </si>
  <si>
    <t>Замена рубильника</t>
  </si>
  <si>
    <t>1 рубильник</t>
  </si>
  <si>
    <t>Замена магнитного пускателя</t>
  </si>
  <si>
    <t>1 пускатель</t>
  </si>
  <si>
    <t>Ремонт магнитного пускателя</t>
  </si>
  <si>
    <t>Замена шкафов и ВРУ</t>
  </si>
  <si>
    <t>1 шкаф</t>
  </si>
  <si>
    <t>Текущий ремонт электродвигателя</t>
  </si>
  <si>
    <t>1 двигатель</t>
  </si>
  <si>
    <t>Техническое  обслуживание электрического  запирающего устройства (домофон)</t>
  </si>
  <si>
    <t>1 устройство</t>
  </si>
  <si>
    <t>Замена электрического запирающего устройства (домофона)</t>
  </si>
  <si>
    <t>Ремонт, замена  внутридомовых электрических сетей</t>
  </si>
  <si>
    <t>1000 пог.м.</t>
  </si>
  <si>
    <t>Замена щитков</t>
  </si>
  <si>
    <t>1 щит</t>
  </si>
  <si>
    <t>Ремонт щитков</t>
  </si>
  <si>
    <t>Обслуживание однофазных счетчиков электроэнергии</t>
  </si>
  <si>
    <t>100 счетчиков</t>
  </si>
  <si>
    <t>Обслуживание трехфазных счетчиков электроэнергии</t>
  </si>
  <si>
    <t>Замена выключателя</t>
  </si>
  <si>
    <t>1 выключатель</t>
  </si>
  <si>
    <t>Замена светильника с лампами накаливания или энергосберегающими лампами</t>
  </si>
  <si>
    <t>1 светильник</t>
  </si>
  <si>
    <t>Замена светильника с люминесцентными лампами</t>
  </si>
  <si>
    <t>Ремонт светильника с лампами накаливания или энергосберегающими лампами</t>
  </si>
  <si>
    <t>Ремонт светильника с люминесцентными лампами</t>
  </si>
  <si>
    <t>Замена лампы накаливания на энергосберегательную</t>
  </si>
  <si>
    <t>1 лампа</t>
  </si>
  <si>
    <t>Замена люминесцентных ламп</t>
  </si>
  <si>
    <t>100 ламп</t>
  </si>
  <si>
    <t>Ремонт штепсельных розеток и выключателей</t>
  </si>
  <si>
    <t>100 розеток (выключателей)</t>
  </si>
  <si>
    <t>Смена розеток</t>
  </si>
  <si>
    <t>Укрепление водосточных труб, колен, воронок с лестниц или подмостей</t>
  </si>
  <si>
    <t>1 ухват</t>
  </si>
  <si>
    <t>Смена стекол на двойной замазке при размере фальцев 10х15 мм</t>
  </si>
  <si>
    <t>100 м фальца</t>
  </si>
  <si>
    <t>Смена стекол на двойной замазке при размере фальцев 15х15 мм</t>
  </si>
  <si>
    <t>Смена стекол на двойной замазке при размере фальцев 15х20 мм</t>
  </si>
  <si>
    <t>Смена стекол на штапиках по замазке</t>
  </si>
  <si>
    <t>Смена стекол на штапиках без замазки</t>
  </si>
  <si>
    <t>Утепление бойлеров</t>
  </si>
  <si>
    <t xml:space="preserve">  1 м2 утепленного участка</t>
  </si>
  <si>
    <t>Оштукатуривание продухов</t>
  </si>
  <si>
    <t xml:space="preserve">  1 м2 ремонтируемой поверхности</t>
  </si>
  <si>
    <t>Перетирка штукатурки поверхностей</t>
  </si>
  <si>
    <t>Окраска  продухов</t>
  </si>
  <si>
    <t>100 м2 ремонтируемой поверхности</t>
  </si>
  <si>
    <t>Ремонт и утепление наружных водоразборных кранов и колонок</t>
  </si>
  <si>
    <t>100 колонок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</si>
  <si>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</si>
  <si>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</si>
  <si>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</si>
  <si>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</si>
  <si>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</si>
  <si>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</si>
  <si>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</si>
  <si>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</si>
  <si>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</si>
  <si>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</si>
  <si>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</si>
  <si>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</si>
  <si>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</si>
  <si>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всех элементов рулонных кровель, водостоков</t>
  </si>
  <si>
    <t>Осмотр всех элементов кровель из штучных материалов, водостоков</t>
  </si>
  <si>
    <t>Осмотр системы мусороудаления</t>
  </si>
  <si>
    <t>100 пог.м. мусоропровода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</si>
  <si>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</si>
  <si>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</si>
  <si>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</si>
  <si>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</si>
  <si>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</si>
  <si>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</si>
  <si>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</si>
  <si>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</si>
  <si>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</si>
  <si>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</si>
  <si>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</si>
  <si>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Проверка изоляции электропроводки и ее укрепление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</si>
  <si>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</si>
  <si>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</si>
  <si>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</si>
  <si>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</si>
  <si>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</si>
  <si>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</si>
  <si>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</si>
  <si>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</si>
  <si>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</si>
  <si>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</si>
  <si>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Окончательная проверка при сдаче системы при диаметре трубопровода до 50 мм</t>
  </si>
  <si>
    <t>Проверка на прогрев отопительных приборов с регулировкой</t>
  </si>
  <si>
    <t>Промывка трубопроводов системы центрального отопления до 50 мм</t>
  </si>
  <si>
    <t>10 м трубопровода (100 м3 здания)</t>
  </si>
  <si>
    <t>Притирка пробочного крана диаметром до 25 мм без снятия с места</t>
  </si>
  <si>
    <t>Притирка пробочного крана диаметром 26-32 мм без снятия с места</t>
  </si>
  <si>
    <t>Притирка пробочного крана диаметром 33-50 мм без снятия с места</t>
  </si>
  <si>
    <t>Притирка клапана вентиля диаметром до 25 мм без снятия с места</t>
  </si>
  <si>
    <t>Притирка клапана вентиля диаметром 26-32 мм без снятия с места</t>
  </si>
  <si>
    <t>Притирка клапана вентиля диаметром 33-50 мм без снятия с места</t>
  </si>
  <si>
    <t>Укрепление крючков для труб и приборов центрального отопления</t>
  </si>
  <si>
    <t>1 крепление</t>
  </si>
  <si>
    <t>Вывертывание и ввертывание радиаторной пробки</t>
  </si>
  <si>
    <t>100 пробок</t>
  </si>
  <si>
    <t>Перегруппировка секций старого радиатора при весе радиатора до 240 кг</t>
  </si>
  <si>
    <t>На каждую следующую секцию сверх первой добавлять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</si>
  <si>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</si>
  <si>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</si>
  <si>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</si>
  <si>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Ремонт кранов регулировки у радиаторных блоков</t>
  </si>
  <si>
    <t>Мелкий ремонт изоляции трубопроводов при диаметре 50 мм</t>
  </si>
  <si>
    <t>Мелкий ремонт изоляции трубопроводов при диаметре 75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</si>
  <si>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</si>
  <si>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</si>
  <si>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</si>
  <si>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</si>
  <si>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</si>
  <si>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</si>
  <si>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</si>
  <si>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</si>
  <si>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</si>
  <si>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</si>
  <si>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</si>
  <si>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</si>
  <si>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</si>
  <si>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</si>
  <si>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</si>
  <si>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</si>
  <si>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</si>
  <si>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</si>
  <si>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</si>
  <si>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</si>
  <si>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</si>
  <si>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</si>
  <si>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</si>
  <si>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Снятие (демонтаж) прибора учета тепловой энергии, диаметром до 50 мм</t>
  </si>
  <si>
    <t>Установка (монтаж) прибора учета тепловой энергии, диаметром до 50 мм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</si>
  <si>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</si>
  <si>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</si>
  <si>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Устранение аварии на внутридомовых инженерных сетях при сроке эксплуатации многоквартирного дома от 11 до 30  лет</t>
  </si>
  <si>
    <t>Устранение аварии на внутридомовых инженерных сетях при сроке эксплуатации многоквартирного дома от 31 до 50 лет</t>
  </si>
  <si>
    <t>Устранение аварии на внутридомовых инженерных сетях при сроке эксплуатации многоквартирного дома от 51 до 70 лет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</si>
  <si>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</si>
  <si>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не оборудованных газовыми плитами (в год для одной смены)</t>
  </si>
  <si>
    <t>Окраска ковшей мусоропровода</t>
  </si>
  <si>
    <t>Замена отдельных элементов загрузочных клапанов</t>
  </si>
  <si>
    <t>1 клапан</t>
  </si>
  <si>
    <t>Устранение мелких неисправностей мусоропровода</t>
  </si>
  <si>
    <t>1 м мусоропровода</t>
  </si>
  <si>
    <t>Окраска ствола мусоропровода</t>
  </si>
  <si>
    <t>Санитарное содержание мест общего пользования, благоустройство придомовой территории и прочие работы</t>
  </si>
  <si>
    <t>Удаление мусора из мусороприемных камер с бункерами, расположенных на 1-ом этаже в домах до  10 этажей</t>
  </si>
  <si>
    <t>1 м3  ТБО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</si>
  <si>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</si>
  <si>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</si>
  <si>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Влажное подметание пола мусороприемных камер в 11-ти и более этажных домах или при наличии мусороприемных камер и мусороприемников в подвальных помещениях и цокольных этажах</t>
  </si>
  <si>
    <t>Уборка в домах до 10 этажей мусороприемных камер, расположенных на 1-ом этаже,  облицованных кафельной плиткой, без шланга</t>
  </si>
  <si>
    <t>Уборка в 11-ти и более этажных домах мусороприемных камер, облицованных кафельной плиткой,  расположенных в подвальных помещениях и цокольных этажах, без шланга</t>
  </si>
  <si>
    <t>Дезинфекция всех элементов ствола мусоропровода с помощью ершей с ручными лебедками</t>
  </si>
  <si>
    <t>100 м мусоропровода</t>
  </si>
  <si>
    <t>Дезинфекция всех элементов ствола мусоропровода вручную</t>
  </si>
  <si>
    <t>Подметание  чердаков и подвалов без предварительного увлажнения</t>
  </si>
  <si>
    <t>100 м2 чердаков и подвалов</t>
  </si>
  <si>
    <t>Уборка мусора и транспортировкой мусора до 50 м</t>
  </si>
  <si>
    <t>1 м3  мусора</t>
  </si>
  <si>
    <t>Уборка мусора и транспортировкой мусора до 100 м</t>
  </si>
  <si>
    <t>Очистка чердаков  и подвалов от строительного мусора</t>
  </si>
  <si>
    <t>100 кг строительного мусора</t>
  </si>
  <si>
    <t>Установка флагов во флагштоки</t>
  </si>
  <si>
    <t>1 флаг</t>
  </si>
  <si>
    <t>Художественное раскрашивание  фасадов  зданий и площадок</t>
  </si>
  <si>
    <t>100 м2  раскрашиваемой поверхности</t>
  </si>
  <si>
    <t>Протирка  номерных фонарей</t>
  </si>
  <si>
    <t>10 фонарей</t>
  </si>
  <si>
    <t>Протирка  номерных указателей</t>
  </si>
  <si>
    <t>10 указателей</t>
  </si>
  <si>
    <t>Известковое окрашивание оштукатуренных  фасадов с рустами  и орнаментированных</t>
  </si>
  <si>
    <t>Окрашивание гладких  кирпичных фасадов известковыми  составами</t>
  </si>
  <si>
    <t>Клеевая окраска гладких  кирпичных фасадов известковыми  составами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</si>
  <si>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</si>
  <si>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</si>
  <si>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</si>
  <si>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</si>
  <si>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</si>
  <si>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</si>
  <si>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Подметание в летний период  земельного участка с неусовершенствованным покрытием 3 класса</t>
  </si>
  <si>
    <t>Подметание в летний период  земельного участка без покрытия 1 класса</t>
  </si>
  <si>
    <t>Подметание в летний период  земельного участка без покрытия 2 класса</t>
  </si>
  <si>
    <t>Подметание в летний период  земельного участка без покрытия 3 класса</t>
  </si>
  <si>
    <t>Полив тротуаров 1 класса</t>
  </si>
  <si>
    <t>100 000 кв.м. территории</t>
  </si>
  <si>
    <t>Полив тротуаров 2 класса</t>
  </si>
  <si>
    <t>Полив тротуаров 3 класса</t>
  </si>
  <si>
    <t>Уборка газонов средней засоренности от листьев, сучьев, мусора</t>
  </si>
  <si>
    <t>Уборка газонов от случайного мусора</t>
  </si>
  <si>
    <t>100 000 м2</t>
  </si>
  <si>
    <t>Полив газонов</t>
  </si>
  <si>
    <t>на 100 000 кв.м.</t>
  </si>
  <si>
    <t>Стрижка газонов</t>
  </si>
  <si>
    <t>на 100 кв.м.</t>
  </si>
  <si>
    <t>Очистка опрокидывающихся урн от мусора</t>
  </si>
  <si>
    <t>на 100 урн</t>
  </si>
  <si>
    <t>Формовочная обрезка деревьев высотой более 5 м</t>
  </si>
  <si>
    <t>100 деревьев</t>
  </si>
  <si>
    <t>Вырезка сухих ветвей и поросли</t>
  </si>
  <si>
    <t>Обрезка под естественный вид крон деревьев с использованием вышки</t>
  </si>
  <si>
    <t>Формирование кроны кустарников</t>
  </si>
  <si>
    <t>1000 кустов</t>
  </si>
  <si>
    <t>Обрезка под естественный вид крон кустарников</t>
  </si>
  <si>
    <t>Стрижка живой изгороди</t>
  </si>
  <si>
    <t>1000 кв.м.</t>
  </si>
  <si>
    <t>Уборка детских и спортивных площадок</t>
  </si>
  <si>
    <t>Окраска скамьи без спинки с металлическими опорами</t>
  </si>
  <si>
    <t>скамья</t>
  </si>
  <si>
    <t>Окраска скамьи без спинки с бетонными опорами</t>
  </si>
  <si>
    <t>Окраска скамьи чугунной со спинкой</t>
  </si>
  <si>
    <t>Окраска качелей-маятника</t>
  </si>
  <si>
    <t>качели</t>
  </si>
  <si>
    <t>Окраска качелей-балансира</t>
  </si>
  <si>
    <t>Окраска поверхности песочницы</t>
  </si>
  <si>
    <t>песочница</t>
  </si>
  <si>
    <t>Окраска лианы 3-х секционной</t>
  </si>
  <si>
    <t>лиана</t>
  </si>
  <si>
    <t>Окраска лестницы</t>
  </si>
  <si>
    <t>лестница</t>
  </si>
  <si>
    <t>Окраска турника</t>
  </si>
  <si>
    <t>турник</t>
  </si>
  <si>
    <t>Окраска хоккейных ворот</t>
  </si>
  <si>
    <t>ворота</t>
  </si>
  <si>
    <t>Окраска футбольных ворот</t>
  </si>
  <si>
    <t>Окраска металлических ограждений спортивных площадок</t>
  </si>
  <si>
    <t xml:space="preserve">пог.м. </t>
  </si>
  <si>
    <t>Окраска деревянных ограждений спортивных площадок</t>
  </si>
  <si>
    <t>Ремонт скамьи без спинки с металлическими опорами</t>
  </si>
  <si>
    <t>Ремонт скамьи без спинки с бетонными опорами</t>
  </si>
  <si>
    <t>Ремонт качелей-маятника</t>
  </si>
  <si>
    <t>Ремонт качелей-балансира</t>
  </si>
  <si>
    <t>Ремонт песочницы</t>
  </si>
  <si>
    <t>Ремонт лианы 3-х секционной</t>
  </si>
  <si>
    <t>Ремонт лестницы</t>
  </si>
  <si>
    <t>Ремонт турника</t>
  </si>
  <si>
    <t>Ремонт хоккейных ворот</t>
  </si>
  <si>
    <t>Ремонт футбольных ворот</t>
  </si>
  <si>
    <t>Ремонт металлических ограждений спортивных площадок</t>
  </si>
  <si>
    <t>пог.м заменяемого участка</t>
  </si>
  <si>
    <t>Ремонт деревянных ограждений спортивных площадок</t>
  </si>
  <si>
    <t>100 пог.м заменяемого участка</t>
  </si>
  <si>
    <t>Заполнение песочницы песком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</si>
  <si>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</si>
  <si>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</si>
  <si>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отсутствии снегопада на придомовой территории с усовершенствованным покрытием 2 класса</t>
  </si>
  <si>
    <t>Сдвижка и подметание снега при отсутствии снегопада на придомовой территории с усовершенствованным покрытием 3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</si>
  <si>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</si>
  <si>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Очистка территории с усовершенствованным покрытием 2 класса от наледи без обработки противогололедными реагентами</t>
  </si>
  <si>
    <t>Очистка территории с усовершенствованным покрытием 3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</si>
  <si>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</si>
  <si>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</si>
  <si>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</si>
  <si>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Посыпка территории II класса</t>
  </si>
  <si>
    <t>Посыпка территории III класса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</si>
  <si>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</si>
  <si>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</si>
  <si>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</si>
  <si>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</si>
  <si>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</si>
  <si>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</si>
  <si>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</si>
  <si>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</si>
  <si>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</si>
  <si>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</si>
  <si>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</si>
  <si>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</si>
  <si>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Прочистка водоприемной воронки внутреннего водостока</t>
  </si>
  <si>
    <t>1 воронка</t>
  </si>
  <si>
    <t>Текущий ремонт ограждений газона</t>
  </si>
  <si>
    <t>Покраска ограждений газона</t>
  </si>
  <si>
    <t>Ремонт газонов</t>
  </si>
  <si>
    <t>м2 ремонтируемой площади газонов</t>
  </si>
  <si>
    <t>Ремонт цветников</t>
  </si>
  <si>
    <t>м2</t>
  </si>
  <si>
    <t>Ремонт асфальтобетонного покрытия проездов</t>
  </si>
  <si>
    <t>Ремонт тротуаров</t>
  </si>
  <si>
    <t>10 м2</t>
  </si>
  <si>
    <t>Ремонт бордюров</t>
  </si>
  <si>
    <t>10 пог.м.</t>
  </si>
  <si>
    <t>Устройство газона</t>
  </si>
  <si>
    <t>Устройство цветников</t>
  </si>
  <si>
    <t>Установка скамьи с металлическими опорами</t>
  </si>
  <si>
    <t>Установка скамьи с бетонными опорами</t>
  </si>
  <si>
    <t>Установка скамьи чугунной со спинкой</t>
  </si>
  <si>
    <t>Установка качелей-маятника</t>
  </si>
  <si>
    <t>Установка качелей-балансира</t>
  </si>
  <si>
    <t>Устройство песочницы</t>
  </si>
  <si>
    <t>Установка лианы 3-х секционной</t>
  </si>
  <si>
    <t>Установка лестницы</t>
  </si>
  <si>
    <t>Установка турника</t>
  </si>
  <si>
    <t>Установка металлических ограждений спортивных площадок</t>
  </si>
  <si>
    <t>Установка деревянных ограждений спортивных площадок</t>
  </si>
  <si>
    <t>Посадка кустарника</t>
  </si>
  <si>
    <t>кустарник</t>
  </si>
  <si>
    <t>Посадка дерева</t>
  </si>
  <si>
    <t>Ремонт окрасочной гидроизоляции цоколя (при приготовлении  мастики)</t>
  </si>
  <si>
    <t>100 м2 окрасочной поверхности</t>
  </si>
  <si>
    <t>Цена за единицу измерения</t>
  </si>
  <si>
    <t>Стоимость работ и услуг 2020 года</t>
  </si>
  <si>
    <t>составлен с использованием онлайн сервиса "МКД-расчет", разработанного Центром Муниципальной экономики (ЦНИС)</t>
  </si>
  <si>
    <t>Примечание: расценка может быть откорректирована на стоимость материалов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</si>
</sst>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4" fontId="4" fillId="34" borderId="23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4"/>
  <sheetViews>
    <sheetView tabSelected="1" workbookViewId="0" topLeftCell="B1">
      <selection activeCell="T2" sqref="T2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1" width="13.00390625" style="0" hidden="1" customWidth="1"/>
    <col min="12" max="12" width="13.00390625" style="0" customWidth="1"/>
    <col min="13" max="13" width="15.00390625" style="0" customWidth="1"/>
  </cols>
  <sheetData>
    <row r="1" spans="2:13" ht="23.25" customHeight="1">
      <c r="B1" s="22" t="s">
        <v>655</v>
      </c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</row>
    <row r="2" spans="2:13" ht="15.75" thickBot="1">
      <c r="B2" s="17" t="s">
        <v>656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54.75" customHeight="1" thickBot="1" thickTop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14" t="s">
        <v>654</v>
      </c>
      <c r="M3" s="3" t="s">
        <v>10</v>
      </c>
    </row>
    <row r="4" spans="2:13" ht="21.75" customHeight="1" thickBot="1" thickTop="1">
      <c r="B4" s="18" t="s">
        <v>11</v>
      </c>
      <c r="C4" s="19"/>
      <c r="D4" s="19"/>
      <c r="E4" s="19"/>
      <c r="F4" s="19"/>
      <c r="G4" s="20"/>
      <c r="H4" s="20"/>
      <c r="I4" s="20"/>
      <c r="J4" s="20"/>
      <c r="K4" s="20"/>
      <c r="L4" s="20"/>
      <c r="M4" s="21"/>
    </row>
    <row r="5" spans="2:13" ht="13.5" thickBot="1" thickTop="1">
      <c r="B5" s="6">
        <v>1</v>
      </c>
      <c r="C5" s="4" t="s">
        <v>12</v>
      </c>
      <c r="D5" s="4" t="s">
        <v>13</v>
      </c>
      <c r="E5" s="8">
        <v>1</v>
      </c>
      <c r="F5" s="8">
        <v>1</v>
      </c>
      <c r="G5" s="10">
        <f>23409.3496*E5*F5</f>
        <v>23409.3496</v>
      </c>
      <c r="H5" s="10">
        <f>317864.43533088*E5*F5</f>
        <v>317864.43533088</v>
      </c>
      <c r="I5" s="10">
        <f>743.4882*E5*F5</f>
        <v>743.4882</v>
      </c>
      <c r="J5" s="10">
        <f>23456.1682992*E5*F5</f>
        <v>23456.1682992</v>
      </c>
      <c r="K5" s="10">
        <f>63957.852250264*E5*F5</f>
        <v>63957.852250264</v>
      </c>
      <c r="L5" s="15">
        <f>M5/F5/E5/100</f>
        <v>4294.31293680344</v>
      </c>
      <c r="M5" s="12">
        <f aca="true" t="shared" si="0" ref="M5:M36">SUM(G5:K5)</f>
        <v>429431.293680344</v>
      </c>
    </row>
    <row r="6" spans="2:13" ht="13.5" thickBot="1" thickTop="1">
      <c r="B6" s="7">
        <v>2</v>
      </c>
      <c r="C6" s="5" t="s">
        <v>14</v>
      </c>
      <c r="D6" s="5" t="s">
        <v>15</v>
      </c>
      <c r="E6" s="9">
        <v>1</v>
      </c>
      <c r="F6" s="9">
        <v>1</v>
      </c>
      <c r="G6" s="11">
        <f>844.573752*E6*F6</f>
        <v>844.573752</v>
      </c>
      <c r="H6" s="11">
        <f>9313.5190608*E6*F6</f>
        <v>9313.5190608</v>
      </c>
      <c r="I6" s="11">
        <f>10015.954416*E6*F6</f>
        <v>10015.954416</v>
      </c>
      <c r="J6" s="11">
        <f>4747.704500088*E6*F6</f>
        <v>4747.704500088</v>
      </c>
      <c r="K6" s="11">
        <f>4361.3065525554*E6*F6</f>
        <v>4361.3065525554</v>
      </c>
      <c r="L6" s="15">
        <f>M6/F6/E6</f>
        <v>29283.058281443402</v>
      </c>
      <c r="M6" s="13">
        <f t="shared" si="0"/>
        <v>29283.058281443402</v>
      </c>
    </row>
    <row r="7" spans="2:13" ht="25.5" thickBot="1" thickTop="1">
      <c r="B7" s="7">
        <v>3</v>
      </c>
      <c r="C7" s="5" t="s">
        <v>16</v>
      </c>
      <c r="D7" s="5" t="s">
        <v>17</v>
      </c>
      <c r="E7" s="9">
        <v>1</v>
      </c>
      <c r="F7" s="9">
        <v>1</v>
      </c>
      <c r="G7" s="11">
        <f>8630.721594*E7*F7</f>
        <v>8630.721594</v>
      </c>
      <c r="H7" s="11">
        <f>19056.555144*E7*F7</f>
        <v>19056.555144</v>
      </c>
      <c r="I7" s="11">
        <f>0*E7*F7</f>
        <v>0</v>
      </c>
      <c r="J7" s="11">
        <f>8647.983037188*E7*F7</f>
        <v>8647.983037188</v>
      </c>
      <c r="K7" s="11">
        <f>6358.6704606579*E7*F7</f>
        <v>6358.6704606579</v>
      </c>
      <c r="L7" s="15">
        <f aca="true" t="shared" si="1" ref="L7:L69">M7/F7/E7/100</f>
        <v>426.93930235845903</v>
      </c>
      <c r="M7" s="13">
        <f t="shared" si="0"/>
        <v>42693.9302358459</v>
      </c>
    </row>
    <row r="8" spans="2:13" ht="13.5" thickBot="1" thickTop="1">
      <c r="B8" s="7">
        <v>4</v>
      </c>
      <c r="C8" s="5" t="s">
        <v>18</v>
      </c>
      <c r="D8" s="5" t="s">
        <v>19</v>
      </c>
      <c r="E8" s="9">
        <v>1</v>
      </c>
      <c r="F8" s="9">
        <v>1</v>
      </c>
      <c r="G8" s="11">
        <f>358.28232*E8*F8</f>
        <v>358.28232</v>
      </c>
      <c r="H8" s="11">
        <f>977.61310848*E8*F8</f>
        <v>977.61310848</v>
      </c>
      <c r="I8" s="11">
        <f>0*E8*F8</f>
        <v>0</v>
      </c>
      <c r="J8" s="11">
        <f>358.99888464*E8*F8</f>
        <v>358.99888464</v>
      </c>
      <c r="K8" s="11">
        <f>296.606504796*E8*F8</f>
        <v>296.606504796</v>
      </c>
      <c r="L8" s="15">
        <f>M8/F8/E8</f>
        <v>1991.5008179160004</v>
      </c>
      <c r="M8" s="13">
        <f t="shared" si="0"/>
        <v>1991.5008179160004</v>
      </c>
    </row>
    <row r="9" spans="2:13" ht="13.5" thickBot="1" thickTop="1">
      <c r="B9" s="7">
        <v>5</v>
      </c>
      <c r="C9" s="5" t="s">
        <v>20</v>
      </c>
      <c r="D9" s="5" t="s">
        <v>21</v>
      </c>
      <c r="E9" s="9">
        <v>1</v>
      </c>
      <c r="F9" s="9">
        <v>1</v>
      </c>
      <c r="G9" s="11">
        <f>6925.87566*E9*F9</f>
        <v>6925.87566</v>
      </c>
      <c r="H9" s="11">
        <f>61342.20151704*E9*F9</f>
        <v>61342.20151704</v>
      </c>
      <c r="I9" s="11">
        <f>0*E9*F9</f>
        <v>0</v>
      </c>
      <c r="J9" s="11">
        <f>6939.72741132*E9*F9</f>
        <v>6939.72741132</v>
      </c>
      <c r="K9" s="11">
        <f>13161.365802963*E9*F9</f>
        <v>13161.365802963</v>
      </c>
      <c r="L9" s="15">
        <f t="shared" si="1"/>
        <v>883.69170391323</v>
      </c>
      <c r="M9" s="13">
        <f t="shared" si="0"/>
        <v>88369.170391323</v>
      </c>
    </row>
    <row r="10" spans="2:13" ht="37.5" thickBot="1" thickTop="1">
      <c r="B10" s="7">
        <v>6</v>
      </c>
      <c r="C10" s="5" t="s">
        <v>22</v>
      </c>
      <c r="D10" s="5" t="s">
        <v>23</v>
      </c>
      <c r="E10" s="9">
        <v>1</v>
      </c>
      <c r="F10" s="9">
        <v>1</v>
      </c>
      <c r="G10" s="11">
        <f>22799.784*E10*F10</f>
        <v>22799.784</v>
      </c>
      <c r="H10" s="11">
        <f>57930.8181552*E10*F10</f>
        <v>57930.8181552</v>
      </c>
      <c r="I10" s="11">
        <f>11091.8808*E10*F10</f>
        <v>11091.8808</v>
      </c>
      <c r="J10" s="11">
        <f>22845.383568*E10*F10</f>
        <v>22845.383568</v>
      </c>
      <c r="K10" s="11">
        <f>20066.87664156*E10*F10</f>
        <v>20066.87664156</v>
      </c>
      <c r="L10" s="15">
        <f t="shared" si="1"/>
        <v>1347.3474316476</v>
      </c>
      <c r="M10" s="13">
        <f t="shared" si="0"/>
        <v>134734.74316476</v>
      </c>
    </row>
    <row r="11" spans="2:13" ht="37.5" thickBot="1" thickTop="1">
      <c r="B11" s="7">
        <v>7</v>
      </c>
      <c r="C11" s="5" t="s">
        <v>24</v>
      </c>
      <c r="D11" s="5" t="s">
        <v>25</v>
      </c>
      <c r="E11" s="9">
        <v>1</v>
      </c>
      <c r="F11" s="9">
        <v>1</v>
      </c>
      <c r="G11" s="11">
        <f>87447.0168*E11*F11</f>
        <v>87447.0168</v>
      </c>
      <c r="H11" s="11">
        <f>57930.8181552*E11*F11</f>
        <v>57930.8181552</v>
      </c>
      <c r="I11" s="11">
        <f>0*E11*F11</f>
        <v>0</v>
      </c>
      <c r="J11" s="11">
        <f>87621.9108336*E11*F11</f>
        <v>87621.9108336</v>
      </c>
      <c r="K11" s="11">
        <f>40774.95551304*E11*F11</f>
        <v>40774.95551304</v>
      </c>
      <c r="L11" s="15">
        <f t="shared" si="1"/>
        <v>2737.7470130184</v>
      </c>
      <c r="M11" s="13">
        <f t="shared" si="0"/>
        <v>273774.70130184</v>
      </c>
    </row>
    <row r="12" spans="2:13" ht="37.5" thickBot="1" thickTop="1">
      <c r="B12" s="7">
        <v>8</v>
      </c>
      <c r="C12" s="5" t="s">
        <v>26</v>
      </c>
      <c r="D12" s="5" t="s">
        <v>27</v>
      </c>
      <c r="E12" s="9">
        <v>1</v>
      </c>
      <c r="F12" s="9">
        <v>1</v>
      </c>
      <c r="G12" s="11">
        <f>12341.1123*E12*F12</f>
        <v>12341.1123</v>
      </c>
      <c r="H12" s="11">
        <f>10686.91689*E12*F12</f>
        <v>10686.91689</v>
      </c>
      <c r="I12" s="11">
        <f>0*E12*F12</f>
        <v>0</v>
      </c>
      <c r="J12" s="11">
        <f>12365.7945246*E12*F12</f>
        <v>12365.7945246</v>
      </c>
      <c r="K12" s="11">
        <f>6193.919150055*E12*F12</f>
        <v>6193.919150055</v>
      </c>
      <c r="L12" s="15">
        <f t="shared" si="1"/>
        <v>415.87742864655</v>
      </c>
      <c r="M12" s="13">
        <f t="shared" si="0"/>
        <v>41587.742864655</v>
      </c>
    </row>
    <row r="13" spans="2:13" ht="37.5" thickBot="1" thickTop="1">
      <c r="B13" s="7">
        <v>9</v>
      </c>
      <c r="C13" s="5" t="s">
        <v>28</v>
      </c>
      <c r="D13" s="5" t="s">
        <v>27</v>
      </c>
      <c r="E13" s="9">
        <v>1</v>
      </c>
      <c r="F13" s="9">
        <v>1</v>
      </c>
      <c r="G13" s="11">
        <f>17885.67*E13*F13</f>
        <v>17885.67</v>
      </c>
      <c r="H13" s="11">
        <f>16030.375335*E13*F13</f>
        <v>16030.375335</v>
      </c>
      <c r="I13" s="11">
        <f>0*E13*F13</f>
        <v>0</v>
      </c>
      <c r="J13" s="11">
        <f>17921.44134*E13*F13</f>
        <v>17921.44134</v>
      </c>
      <c r="K13" s="11">
        <f>9071.560168125*E13*F13</f>
        <v>9071.560168125</v>
      </c>
      <c r="L13" s="15">
        <f t="shared" si="1"/>
        <v>609.0904684312501</v>
      </c>
      <c r="M13" s="13">
        <f t="shared" si="0"/>
        <v>60909.046843125005</v>
      </c>
    </row>
    <row r="14" spans="2:13" ht="37.5" thickBot="1" thickTop="1">
      <c r="B14" s="7">
        <v>10</v>
      </c>
      <c r="C14" s="5" t="s">
        <v>29</v>
      </c>
      <c r="D14" s="5" t="s">
        <v>27</v>
      </c>
      <c r="E14" s="9">
        <v>1</v>
      </c>
      <c r="F14" s="9">
        <v>1</v>
      </c>
      <c r="G14" s="11">
        <f>19674.237*E14*F14</f>
        <v>19674.237</v>
      </c>
      <c r="H14" s="11">
        <f>21373.83378*E14*F14</f>
        <v>21373.83378</v>
      </c>
      <c r="I14" s="11">
        <f>0*E14*F14</f>
        <v>0</v>
      </c>
      <c r="J14" s="11">
        <f>19713.585474*E14*F14</f>
        <v>19713.585474</v>
      </c>
      <c r="K14" s="11">
        <f>10633.28984445*E14*F14</f>
        <v>10633.28984445</v>
      </c>
      <c r="L14" s="15">
        <f t="shared" si="1"/>
        <v>713.9494609845001</v>
      </c>
      <c r="M14" s="13">
        <f t="shared" si="0"/>
        <v>71394.94609845</v>
      </c>
    </row>
    <row r="15" spans="2:13" ht="37.5" thickBot="1" thickTop="1">
      <c r="B15" s="7">
        <v>11</v>
      </c>
      <c r="C15" s="5" t="s">
        <v>30</v>
      </c>
      <c r="D15" s="5" t="s">
        <v>27</v>
      </c>
      <c r="E15" s="9">
        <v>1</v>
      </c>
      <c r="F15" s="9">
        <v>1</v>
      </c>
      <c r="G15" s="11">
        <f>28617.072*E15*F15</f>
        <v>28617.072</v>
      </c>
      <c r="H15" s="11">
        <f>42747.66756*E15*F15</f>
        <v>42747.66756</v>
      </c>
      <c r="I15" s="11">
        <f>0*E15*F15</f>
        <v>0</v>
      </c>
      <c r="J15" s="11">
        <f>28674.306144*E15*F15</f>
        <v>28674.306144</v>
      </c>
      <c r="K15" s="11">
        <f>17506.8329982*E15*F15</f>
        <v>17506.8329982</v>
      </c>
      <c r="L15" s="15">
        <f t="shared" si="1"/>
        <v>1175.458787022</v>
      </c>
      <c r="M15" s="13">
        <f t="shared" si="0"/>
        <v>117545.8787022</v>
      </c>
    </row>
    <row r="16" spans="2:13" ht="37.5" thickBot="1" thickTop="1">
      <c r="B16" s="7">
        <v>12</v>
      </c>
      <c r="C16" s="5" t="s">
        <v>31</v>
      </c>
      <c r="D16" s="5" t="s">
        <v>23</v>
      </c>
      <c r="E16" s="9">
        <v>1</v>
      </c>
      <c r="F16" s="9">
        <v>1</v>
      </c>
      <c r="G16" s="11">
        <f>53793.168*E16*F16</f>
        <v>53793.168</v>
      </c>
      <c r="H16" s="11">
        <f>17725.238496*E16*F16</f>
        <v>17725.238496</v>
      </c>
      <c r="I16" s="11">
        <f>13732.8048*E16*F16</f>
        <v>13732.8048</v>
      </c>
      <c r="J16" s="11">
        <f>53900.754336*E16*F16</f>
        <v>53900.754336</v>
      </c>
      <c r="K16" s="11">
        <f>24351.5939856*E16*F16</f>
        <v>24351.5939856</v>
      </c>
      <c r="L16" s="15">
        <f t="shared" si="1"/>
        <v>1635.035596176</v>
      </c>
      <c r="M16" s="13">
        <f t="shared" si="0"/>
        <v>163503.5596176</v>
      </c>
    </row>
    <row r="17" spans="2:13" ht="37.5" thickBot="1" thickTop="1">
      <c r="B17" s="7">
        <v>13</v>
      </c>
      <c r="C17" s="5" t="s">
        <v>32</v>
      </c>
      <c r="D17" s="5" t="s">
        <v>33</v>
      </c>
      <c r="E17" s="9">
        <v>1</v>
      </c>
      <c r="F17" s="9">
        <v>1</v>
      </c>
      <c r="G17" s="11">
        <f>2237.497317*E17*F17</f>
        <v>2237.497317</v>
      </c>
      <c r="H17" s="11">
        <f>1162.048380768*E17*F17</f>
        <v>1162.048380768</v>
      </c>
      <c r="I17" s="11">
        <f>660.231*E17*F17</f>
        <v>660.231</v>
      </c>
      <c r="J17" s="11">
        <f>2241.972311634*E17*F17</f>
        <v>2241.972311634</v>
      </c>
      <c r="K17" s="11">
        <f>1102.8060766454*E17*F17</f>
        <v>1102.8060766454</v>
      </c>
      <c r="L17" s="15">
        <f t="shared" si="1"/>
        <v>74.045550860474</v>
      </c>
      <c r="M17" s="13">
        <f t="shared" si="0"/>
        <v>7404.5550860473995</v>
      </c>
    </row>
    <row r="18" spans="2:13" ht="37.5" thickBot="1" thickTop="1">
      <c r="B18" s="7">
        <v>14</v>
      </c>
      <c r="C18" s="5" t="s">
        <v>34</v>
      </c>
      <c r="D18" s="5" t="s">
        <v>33</v>
      </c>
      <c r="E18" s="9">
        <v>1</v>
      </c>
      <c r="F18" s="9">
        <v>1</v>
      </c>
      <c r="G18" s="11">
        <f>4320.18048*E18*F18</f>
        <v>4320.18048</v>
      </c>
      <c r="H18" s="11">
        <f>2803.350759952*E18*F18</f>
        <v>2803.350759952</v>
      </c>
      <c r="I18" s="11">
        <f>802.840896*E18*F18</f>
        <v>802.840896</v>
      </c>
      <c r="J18" s="11">
        <f>4328.82084096*E18*F18</f>
        <v>4328.82084096</v>
      </c>
      <c r="K18" s="11">
        <f>2144.6587709596*E18*F18</f>
        <v>2144.6587709596</v>
      </c>
      <c r="L18" s="15">
        <f t="shared" si="1"/>
        <v>143.998517478716</v>
      </c>
      <c r="M18" s="13">
        <f t="shared" si="0"/>
        <v>14399.8517478716</v>
      </c>
    </row>
    <row r="19" spans="2:13" ht="25.5" thickBot="1" thickTop="1">
      <c r="B19" s="7">
        <v>15</v>
      </c>
      <c r="C19" s="5" t="s">
        <v>35</v>
      </c>
      <c r="D19" s="5" t="s">
        <v>36</v>
      </c>
      <c r="E19" s="9">
        <v>1</v>
      </c>
      <c r="F19" s="9">
        <v>1</v>
      </c>
      <c r="G19" s="11">
        <f>2325.1371*E19*F19</f>
        <v>2325.1371</v>
      </c>
      <c r="H19" s="11">
        <f>601.74380412*E19*F19</f>
        <v>601.74380412</v>
      </c>
      <c r="I19" s="11">
        <f aca="true" t="shared" si="2" ref="I19:I27">0*E19*F19</f>
        <v>0</v>
      </c>
      <c r="J19" s="11">
        <f>2329.7873742*E19*F19</f>
        <v>2329.7873742</v>
      </c>
      <c r="K19" s="11">
        <f>919.916948706*E19*F19</f>
        <v>919.916948706</v>
      </c>
      <c r="L19" s="15">
        <f t="shared" si="1"/>
        <v>61.765852270260005</v>
      </c>
      <c r="M19" s="13">
        <f t="shared" si="0"/>
        <v>6176.585227026</v>
      </c>
    </row>
    <row r="20" spans="2:13" ht="25.5" thickBot="1" thickTop="1">
      <c r="B20" s="7">
        <v>16</v>
      </c>
      <c r="C20" s="5" t="s">
        <v>37</v>
      </c>
      <c r="D20" s="5" t="s">
        <v>36</v>
      </c>
      <c r="E20" s="9">
        <v>1</v>
      </c>
      <c r="F20" s="9">
        <v>1</v>
      </c>
      <c r="G20" s="11">
        <f>7869.6948*E20*F20</f>
        <v>7869.6948</v>
      </c>
      <c r="H20" s="11">
        <f>2690.2554836832*E20*F20</f>
        <v>2690.2554836832</v>
      </c>
      <c r="I20" s="11">
        <f t="shared" si="2"/>
        <v>0</v>
      </c>
      <c r="J20" s="11">
        <f>7885.4341896*E20*F20</f>
        <v>7885.4341896</v>
      </c>
      <c r="K20" s="11">
        <f>3227.9422828246*E20*F20</f>
        <v>3227.9422828246</v>
      </c>
      <c r="L20" s="15">
        <f t="shared" si="1"/>
        <v>216.73326756107798</v>
      </c>
      <c r="M20" s="13">
        <f t="shared" si="0"/>
        <v>21673.3267561078</v>
      </c>
    </row>
    <row r="21" spans="2:13" ht="25.5" thickBot="1" thickTop="1">
      <c r="B21" s="7">
        <v>17</v>
      </c>
      <c r="C21" s="5" t="s">
        <v>38</v>
      </c>
      <c r="D21" s="5" t="s">
        <v>36</v>
      </c>
      <c r="E21" s="9">
        <v>1</v>
      </c>
      <c r="F21" s="9">
        <v>1</v>
      </c>
      <c r="G21" s="11">
        <f>9921.3972*E21*F21</f>
        <v>9921.3972</v>
      </c>
      <c r="H21" s="11">
        <f>7376.3431964424*E21*F21</f>
        <v>7376.3431964424</v>
      </c>
      <c r="I21" s="11">
        <f t="shared" si="2"/>
        <v>0</v>
      </c>
      <c r="J21" s="11">
        <f>9941.2399944*E21*F21</f>
        <v>9941.2399944</v>
      </c>
      <c r="K21" s="11">
        <f>4766.8215683974*E21*F21</f>
        <v>4766.8215683974</v>
      </c>
      <c r="L21" s="15">
        <f t="shared" si="1"/>
        <v>320.058019592398</v>
      </c>
      <c r="M21" s="13">
        <f t="shared" si="0"/>
        <v>32005.8019592398</v>
      </c>
    </row>
    <row r="22" spans="2:13" ht="25.5" thickBot="1" thickTop="1">
      <c r="B22" s="7">
        <v>18</v>
      </c>
      <c r="C22" s="5" t="s">
        <v>39</v>
      </c>
      <c r="D22" s="5" t="s">
        <v>40</v>
      </c>
      <c r="E22" s="9">
        <v>1</v>
      </c>
      <c r="F22" s="9">
        <v>1</v>
      </c>
      <c r="G22" s="11">
        <f>38159.22*E22*F22</f>
        <v>38159.22</v>
      </c>
      <c r="H22" s="11">
        <f>19011.599872488*E22*F22</f>
        <v>19011.599872488</v>
      </c>
      <c r="I22" s="11">
        <f t="shared" si="2"/>
        <v>0</v>
      </c>
      <c r="J22" s="11">
        <f>38235.53844*E22*F22</f>
        <v>38235.53844</v>
      </c>
      <c r="K22" s="11">
        <f>16696.112704685*E22*F22</f>
        <v>16696.112704685</v>
      </c>
      <c r="L22" s="15">
        <f t="shared" si="1"/>
        <v>1121.02471017173</v>
      </c>
      <c r="M22" s="13">
        <f t="shared" si="0"/>
        <v>112102.47101717301</v>
      </c>
    </row>
    <row r="23" spans="2:13" ht="13.5" thickBot="1" thickTop="1">
      <c r="B23" s="7">
        <v>19</v>
      </c>
      <c r="C23" s="5" t="s">
        <v>41</v>
      </c>
      <c r="D23" s="5" t="s">
        <v>40</v>
      </c>
      <c r="E23" s="9">
        <v>1</v>
      </c>
      <c r="F23" s="9">
        <v>1</v>
      </c>
      <c r="G23" s="11">
        <f>2513.33643*E23*F23</f>
        <v>2513.33643</v>
      </c>
      <c r="H23" s="11">
        <f>627.7579021944*E23*F23</f>
        <v>627.7579021944</v>
      </c>
      <c r="I23" s="11">
        <f t="shared" si="2"/>
        <v>0</v>
      </c>
      <c r="J23" s="11">
        <f>2518.36310286*E23*F23</f>
        <v>2518.36310286</v>
      </c>
      <c r="K23" s="11">
        <f>990.40505113452*E23*F23</f>
        <v>990.40505113452</v>
      </c>
      <c r="L23" s="15">
        <f t="shared" si="1"/>
        <v>66.4986248618892</v>
      </c>
      <c r="M23" s="13">
        <f t="shared" si="0"/>
        <v>6649.862486188919</v>
      </c>
    </row>
    <row r="24" spans="2:13" ht="13.5" thickBot="1" thickTop="1">
      <c r="B24" s="7">
        <v>20</v>
      </c>
      <c r="C24" s="5" t="s">
        <v>42</v>
      </c>
      <c r="D24" s="5" t="s">
        <v>40</v>
      </c>
      <c r="E24" s="9">
        <v>1</v>
      </c>
      <c r="F24" s="9">
        <v>1</v>
      </c>
      <c r="G24" s="11">
        <f>4197.5142*E24*F24</f>
        <v>4197.5142</v>
      </c>
      <c r="H24" s="11">
        <f>709.3278081144*E24*F24</f>
        <v>709.3278081144</v>
      </c>
      <c r="I24" s="11">
        <f t="shared" si="2"/>
        <v>0</v>
      </c>
      <c r="J24" s="11">
        <f>4205.9092284*E24*F24</f>
        <v>4205.9092284</v>
      </c>
      <c r="K24" s="11">
        <f>1594.73146639*E24*F24</f>
        <v>1594.73146639</v>
      </c>
      <c r="L24" s="15">
        <f t="shared" si="1"/>
        <v>107.07482702904399</v>
      </c>
      <c r="M24" s="13">
        <f t="shared" si="0"/>
        <v>10707.482702904399</v>
      </c>
    </row>
    <row r="25" spans="2:13" ht="25.5" thickBot="1" thickTop="1">
      <c r="B25" s="7">
        <v>21</v>
      </c>
      <c r="C25" s="5" t="s">
        <v>43</v>
      </c>
      <c r="D25" s="5" t="s">
        <v>44</v>
      </c>
      <c r="E25" s="9">
        <v>1</v>
      </c>
      <c r="F25" s="9">
        <v>1</v>
      </c>
      <c r="G25" s="11">
        <f>2861.7072*E25*F25</f>
        <v>2861.7072</v>
      </c>
      <c r="H25" s="11">
        <f>654.8494398552*E25*F25</f>
        <v>654.8494398552</v>
      </c>
      <c r="I25" s="11">
        <f t="shared" si="2"/>
        <v>0</v>
      </c>
      <c r="J25" s="11">
        <f>2867.4306144*E25*F25</f>
        <v>2867.4306144</v>
      </c>
      <c r="K25" s="11">
        <f>1117.1977694947*E25*F25</f>
        <v>1117.1977694947</v>
      </c>
      <c r="L25" s="15">
        <f t="shared" si="1"/>
        <v>75.011850237499</v>
      </c>
      <c r="M25" s="13">
        <f t="shared" si="0"/>
        <v>7501.1850237499</v>
      </c>
    </row>
    <row r="26" spans="2:13" ht="13.5" thickBot="1" thickTop="1">
      <c r="B26" s="7">
        <v>22</v>
      </c>
      <c r="C26" s="5" t="s">
        <v>45</v>
      </c>
      <c r="D26" s="5" t="s">
        <v>44</v>
      </c>
      <c r="E26" s="9">
        <v>1</v>
      </c>
      <c r="F26" s="9">
        <v>1</v>
      </c>
      <c r="G26" s="11">
        <f>8585.1216*E26*F26</f>
        <v>8585.1216</v>
      </c>
      <c r="H26" s="11">
        <f>2786.6267043408*E26*F26</f>
        <v>2786.6267043408</v>
      </c>
      <c r="I26" s="11">
        <f t="shared" si="2"/>
        <v>0</v>
      </c>
      <c r="J26" s="11">
        <f>8602.2918432*E26*F26</f>
        <v>8602.2918432</v>
      </c>
      <c r="K26" s="11">
        <f>3495.4570258196*E26*F26</f>
        <v>3495.4570258196</v>
      </c>
      <c r="L26" s="15">
        <f t="shared" si="1"/>
        <v>234.694971733604</v>
      </c>
      <c r="M26" s="13">
        <f t="shared" si="0"/>
        <v>23469.4971733604</v>
      </c>
    </row>
    <row r="27" spans="2:13" ht="25.5" thickBot="1" thickTop="1">
      <c r="B27" s="7">
        <v>23</v>
      </c>
      <c r="C27" s="5" t="s">
        <v>46</v>
      </c>
      <c r="D27" s="5" t="s">
        <v>44</v>
      </c>
      <c r="E27" s="9">
        <v>1</v>
      </c>
      <c r="F27" s="9">
        <v>1</v>
      </c>
      <c r="G27" s="11">
        <f>11256.9699*E27*F27</f>
        <v>11256.9699</v>
      </c>
      <c r="H27" s="11">
        <f>8058.1062959136*E27*F27</f>
        <v>8058.1062959136</v>
      </c>
      <c r="I27" s="11">
        <f t="shared" si="2"/>
        <v>0</v>
      </c>
      <c r="J27" s="11">
        <f>11279.4838398*E27*F27</f>
        <v>11279.4838398</v>
      </c>
      <c r="K27" s="11">
        <f>5354.0480062499*E27*F27</f>
        <v>5354.0480062499</v>
      </c>
      <c r="L27" s="15">
        <f t="shared" si="1"/>
        <v>359.48608041963496</v>
      </c>
      <c r="M27" s="13">
        <f t="shared" si="0"/>
        <v>35948.608041963496</v>
      </c>
    </row>
    <row r="28" spans="2:13" ht="25.5" thickBot="1" thickTop="1">
      <c r="B28" s="7">
        <v>24</v>
      </c>
      <c r="C28" s="5" t="s">
        <v>47</v>
      </c>
      <c r="D28" s="5" t="s">
        <v>48</v>
      </c>
      <c r="E28" s="9">
        <v>1</v>
      </c>
      <c r="F28" s="9">
        <v>1</v>
      </c>
      <c r="G28" s="11">
        <f>133.84371*E28*F28</f>
        <v>133.84371</v>
      </c>
      <c r="H28" s="11">
        <f>1415.7763628767*E28*F28</f>
        <v>1415.7763628767</v>
      </c>
      <c r="I28" s="11">
        <f>0.344448*E28*F28</f>
        <v>0.344448</v>
      </c>
      <c r="J28" s="11">
        <f>134.11139742*E28*F28</f>
        <v>134.11139742</v>
      </c>
      <c r="K28" s="11">
        <f>294.71328570193*E28*F28</f>
        <v>294.71328570193</v>
      </c>
      <c r="L28" s="15">
        <f>M28/F28/E28</f>
        <v>1978.78920399863</v>
      </c>
      <c r="M28" s="13">
        <f t="shared" si="0"/>
        <v>1978.78920399863</v>
      </c>
    </row>
    <row r="29" spans="2:13" ht="13.5" thickBot="1" thickTop="1">
      <c r="B29" s="7">
        <v>25</v>
      </c>
      <c r="C29" s="5" t="s">
        <v>49</v>
      </c>
      <c r="D29" s="5" t="s">
        <v>50</v>
      </c>
      <c r="E29" s="9">
        <v>1</v>
      </c>
      <c r="F29" s="9">
        <v>1</v>
      </c>
      <c r="G29" s="11">
        <f>702.565776*E29*F29</f>
        <v>702.565776</v>
      </c>
      <c r="H29" s="11">
        <f>765.179956152*E29*F29</f>
        <v>765.179956152</v>
      </c>
      <c r="I29" s="11">
        <f aca="true" t="shared" si="3" ref="I29:I36">0*E29*F29</f>
        <v>0</v>
      </c>
      <c r="J29" s="11">
        <f>703.970907552*E29*F29</f>
        <v>703.970907552</v>
      </c>
      <c r="K29" s="11">
        <f>380.0504119482*E29*F29</f>
        <v>380.0504119482</v>
      </c>
      <c r="L29" s="15">
        <f>M29/F29/E29</f>
        <v>2551.7670516522003</v>
      </c>
      <c r="M29" s="13">
        <f t="shared" si="0"/>
        <v>2551.7670516522003</v>
      </c>
    </row>
    <row r="30" spans="2:13" ht="25.5" thickBot="1" thickTop="1">
      <c r="B30" s="7">
        <v>26</v>
      </c>
      <c r="C30" s="5" t="s">
        <v>51</v>
      </c>
      <c r="D30" s="5" t="s">
        <v>52</v>
      </c>
      <c r="E30" s="9">
        <v>1</v>
      </c>
      <c r="F30" s="9">
        <v>1</v>
      </c>
      <c r="G30" s="11">
        <f>915.57774*E30*F30</f>
        <v>915.57774</v>
      </c>
      <c r="H30" s="11">
        <f>1451.476918944*E30*F30</f>
        <v>1451.476918944</v>
      </c>
      <c r="I30" s="11">
        <f t="shared" si="3"/>
        <v>0</v>
      </c>
      <c r="J30" s="11">
        <f>917.40889548*E30*F30</f>
        <v>917.40889548</v>
      </c>
      <c r="K30" s="11">
        <f>574.7811220242*E30*F30</f>
        <v>574.7811220242</v>
      </c>
      <c r="L30" s="15">
        <f t="shared" si="1"/>
        <v>38.592446764482</v>
      </c>
      <c r="M30" s="13">
        <f t="shared" si="0"/>
        <v>3859.2446764482</v>
      </c>
    </row>
    <row r="31" spans="2:13" ht="13.5" thickBot="1" thickTop="1">
      <c r="B31" s="7">
        <v>27</v>
      </c>
      <c r="C31" s="5" t="s">
        <v>53</v>
      </c>
      <c r="D31" s="5" t="s">
        <v>54</v>
      </c>
      <c r="E31" s="9">
        <v>1</v>
      </c>
      <c r="F31" s="9">
        <v>1</v>
      </c>
      <c r="G31" s="11">
        <f>112.11156*E31*F31</f>
        <v>112.11156</v>
      </c>
      <c r="H31" s="11">
        <f>19.0268616384*E31*F31</f>
        <v>19.0268616384</v>
      </c>
      <c r="I31" s="11">
        <f t="shared" si="3"/>
        <v>0</v>
      </c>
      <c r="J31" s="11">
        <f>112.33578312*E31*F31</f>
        <v>112.33578312</v>
      </c>
      <c r="K31" s="11">
        <f>42.60798583272*E31*F31</f>
        <v>42.60798583272</v>
      </c>
      <c r="L31" s="15">
        <f>M31/F31/E31</f>
        <v>286.08219059111997</v>
      </c>
      <c r="M31" s="13">
        <f t="shared" si="0"/>
        <v>286.08219059111997</v>
      </c>
    </row>
    <row r="32" spans="2:13" ht="25.5" thickBot="1" thickTop="1">
      <c r="B32" s="7">
        <v>28</v>
      </c>
      <c r="C32" s="5" t="s">
        <v>55</v>
      </c>
      <c r="D32" s="5" t="s">
        <v>56</v>
      </c>
      <c r="E32" s="9">
        <v>1</v>
      </c>
      <c r="F32" s="9">
        <v>1</v>
      </c>
      <c r="G32" s="11">
        <f>14845.148604*E32*F32</f>
        <v>14845.148604</v>
      </c>
      <c r="H32" s="11">
        <f>3234.6605466*E32*F32</f>
        <v>3234.6605466</v>
      </c>
      <c r="I32" s="11">
        <f t="shared" si="3"/>
        <v>0</v>
      </c>
      <c r="J32" s="11">
        <f>14874.838901208*E32*F32</f>
        <v>14874.838901208</v>
      </c>
      <c r="K32" s="11">
        <f>5767.0634090664*E32*F32</f>
        <v>5767.0634090664</v>
      </c>
      <c r="L32" s="15">
        <f t="shared" si="1"/>
        <v>387.217114608744</v>
      </c>
      <c r="M32" s="13">
        <f t="shared" si="0"/>
        <v>38721.7114608744</v>
      </c>
    </row>
    <row r="33" spans="2:13" ht="25.5" thickBot="1" thickTop="1">
      <c r="B33" s="7">
        <v>29</v>
      </c>
      <c r="C33" s="5" t="s">
        <v>57</v>
      </c>
      <c r="D33" s="5" t="s">
        <v>58</v>
      </c>
      <c r="E33" s="9">
        <v>1</v>
      </c>
      <c r="F33" s="9">
        <v>1</v>
      </c>
      <c r="G33" s="11">
        <f>229.828698*E33*F33</f>
        <v>229.828698</v>
      </c>
      <c r="H33" s="11">
        <f>504.74134512*E33*F33</f>
        <v>504.74134512</v>
      </c>
      <c r="I33" s="11">
        <f t="shared" si="3"/>
        <v>0</v>
      </c>
      <c r="J33" s="11">
        <f>230.288355396*E33*F33</f>
        <v>230.288355396</v>
      </c>
      <c r="K33" s="11">
        <f>168.8502197403*E33*F33</f>
        <v>168.8502197403</v>
      </c>
      <c r="L33" s="15">
        <f>M33/F33/E33/10</f>
        <v>113.37086182563</v>
      </c>
      <c r="M33" s="13">
        <f t="shared" si="0"/>
        <v>1133.7086182563</v>
      </c>
    </row>
    <row r="34" spans="2:13" ht="37.5" thickBot="1" thickTop="1">
      <c r="B34" s="7">
        <v>30</v>
      </c>
      <c r="C34" s="5" t="s">
        <v>59</v>
      </c>
      <c r="D34" s="5" t="s">
        <v>60</v>
      </c>
      <c r="E34" s="9">
        <v>1</v>
      </c>
      <c r="F34" s="9">
        <v>1</v>
      </c>
      <c r="G34" s="11">
        <f>113.79324*E34*F34</f>
        <v>113.79324</v>
      </c>
      <c r="H34" s="11">
        <f>639.8606571552*E34*F34</f>
        <v>639.8606571552</v>
      </c>
      <c r="I34" s="11">
        <f t="shared" si="3"/>
        <v>0</v>
      </c>
      <c r="J34" s="11">
        <f>114.02082648*E34*F34</f>
        <v>114.02082648</v>
      </c>
      <c r="K34" s="11">
        <f>151.84307663616*E34*F34</f>
        <v>151.84307663616</v>
      </c>
      <c r="L34" s="15">
        <f>M34/F34/E34</f>
        <v>1019.5178002713599</v>
      </c>
      <c r="M34" s="13">
        <f t="shared" si="0"/>
        <v>1019.5178002713599</v>
      </c>
    </row>
    <row r="35" spans="2:13" ht="13.5" thickBot="1" thickTop="1">
      <c r="B35" s="7">
        <v>31</v>
      </c>
      <c r="C35" s="5" t="s">
        <v>61</v>
      </c>
      <c r="D35" s="5" t="s">
        <v>50</v>
      </c>
      <c r="E35" s="9">
        <v>1</v>
      </c>
      <c r="F35" s="9">
        <v>1</v>
      </c>
      <c r="G35" s="11">
        <f>248.03493*E35*F35</f>
        <v>248.03493</v>
      </c>
      <c r="H35" s="11">
        <f>4.9794156*E35*F35</f>
        <v>4.9794156</v>
      </c>
      <c r="I35" s="11">
        <f t="shared" si="3"/>
        <v>0</v>
      </c>
      <c r="J35" s="11">
        <f>248.53099986*E35*F35</f>
        <v>248.53099986</v>
      </c>
      <c r="K35" s="11">
        <f>87.7704354555*E35*F35</f>
        <v>87.7704354555</v>
      </c>
      <c r="L35" s="15">
        <f>M35/F35/E35</f>
        <v>589.3157809155</v>
      </c>
      <c r="M35" s="13">
        <f t="shared" si="0"/>
        <v>589.3157809155</v>
      </c>
    </row>
    <row r="36" spans="2:13" ht="13.5" thickBot="1" thickTop="1">
      <c r="B36" s="7">
        <v>32</v>
      </c>
      <c r="C36" s="5" t="s">
        <v>62</v>
      </c>
      <c r="D36" s="5" t="s">
        <v>50</v>
      </c>
      <c r="E36" s="9">
        <v>1</v>
      </c>
      <c r="F36" s="9">
        <v>1</v>
      </c>
      <c r="G36" s="11">
        <f>133.55727*E36*F36</f>
        <v>133.55727</v>
      </c>
      <c r="H36" s="11">
        <f>114.8249088*E36*F36</f>
        <v>114.8249088</v>
      </c>
      <c r="I36" s="11">
        <f t="shared" si="3"/>
        <v>0</v>
      </c>
      <c r="J36" s="11">
        <f>133.82438454*E36*F36</f>
        <v>133.82438454</v>
      </c>
      <c r="K36" s="11">
        <f>66.8861485845*E36*F36</f>
        <v>66.8861485845</v>
      </c>
      <c r="L36" s="15">
        <f>M36/F36/E36</f>
        <v>449.0927119245</v>
      </c>
      <c r="M36" s="13">
        <f t="shared" si="0"/>
        <v>449.0927119245</v>
      </c>
    </row>
    <row r="37" spans="2:13" ht="25.5" thickBot="1" thickTop="1">
      <c r="B37" s="7">
        <v>33</v>
      </c>
      <c r="C37" s="5" t="s">
        <v>63</v>
      </c>
      <c r="D37" s="5" t="s">
        <v>64</v>
      </c>
      <c r="E37" s="9">
        <v>1</v>
      </c>
      <c r="F37" s="9">
        <v>1</v>
      </c>
      <c r="G37" s="11">
        <f>11319.848892*E37*F37</f>
        <v>11319.848892</v>
      </c>
      <c r="H37" s="11">
        <f>30024.67647456*E37*F37</f>
        <v>30024.67647456</v>
      </c>
      <c r="I37" s="11">
        <f>144.855516*E37*F37</f>
        <v>144.855516</v>
      </c>
      <c r="J37" s="11">
        <f>11408.91209964*E37*F37</f>
        <v>11408.91209964</v>
      </c>
      <c r="K37" s="11">
        <f>9257.201271885*E37*F37</f>
        <v>9257.201271885</v>
      </c>
      <c r="L37" s="15">
        <f t="shared" si="1"/>
        <v>621.5549425408501</v>
      </c>
      <c r="M37" s="13">
        <f aca="true" t="shared" si="4" ref="M37:M68">SUM(G37:K37)</f>
        <v>62155.49425408501</v>
      </c>
    </row>
    <row r="38" spans="2:13" ht="25.5" thickBot="1" thickTop="1">
      <c r="B38" s="7">
        <v>34</v>
      </c>
      <c r="C38" s="5" t="s">
        <v>65</v>
      </c>
      <c r="D38" s="5" t="s">
        <v>66</v>
      </c>
      <c r="E38" s="9">
        <v>1</v>
      </c>
      <c r="F38" s="9">
        <v>1</v>
      </c>
      <c r="G38" s="11">
        <f>5308.78788*E38*F38</f>
        <v>5308.78788</v>
      </c>
      <c r="H38" s="11">
        <f>1625.14702188*E38*F38</f>
        <v>1625.14702188</v>
      </c>
      <c r="I38" s="11">
        <f>17.08434*E38*F38</f>
        <v>17.08434</v>
      </c>
      <c r="J38" s="11">
        <f>5332.37790888*E38*F38</f>
        <v>5332.37790888</v>
      </c>
      <c r="K38" s="11">
        <f>2149.594501383*E38*F38</f>
        <v>2149.594501383</v>
      </c>
      <c r="L38" s="15">
        <f t="shared" si="1"/>
        <v>144.32991652143</v>
      </c>
      <c r="M38" s="13">
        <f t="shared" si="4"/>
        <v>14432.991652143</v>
      </c>
    </row>
    <row r="39" spans="2:13" ht="25.5" thickBot="1" thickTop="1">
      <c r="B39" s="7">
        <v>35</v>
      </c>
      <c r="C39" s="5" t="s">
        <v>67</v>
      </c>
      <c r="D39" s="5" t="s">
        <v>66</v>
      </c>
      <c r="E39" s="9">
        <v>1</v>
      </c>
      <c r="F39" s="9">
        <v>1</v>
      </c>
      <c r="G39" s="11">
        <f>3934.748664*E39*F39</f>
        <v>3934.748664</v>
      </c>
      <c r="H39" s="11">
        <f>1625.14702188*E39*F39</f>
        <v>1625.14702188</v>
      </c>
      <c r="I39" s="11">
        <f>17.08434*E39*F39</f>
        <v>17.08434</v>
      </c>
      <c r="J39" s="11">
        <f>3955.590614448*E39*F39</f>
        <v>3955.590614448</v>
      </c>
      <c r="K39" s="11">
        <f>1668.1998620574*E39*F39</f>
        <v>1668.1998620574</v>
      </c>
      <c r="L39" s="15">
        <f t="shared" si="1"/>
        <v>112.007705023854</v>
      </c>
      <c r="M39" s="13">
        <f t="shared" si="4"/>
        <v>11200.7705023854</v>
      </c>
    </row>
    <row r="40" spans="2:13" ht="49.5" thickBot="1" thickTop="1">
      <c r="B40" s="7">
        <v>36</v>
      </c>
      <c r="C40" s="5" t="s">
        <v>68</v>
      </c>
      <c r="D40" s="5" t="s">
        <v>56</v>
      </c>
      <c r="E40" s="9">
        <v>1</v>
      </c>
      <c r="F40" s="9">
        <v>1</v>
      </c>
      <c r="G40" s="11">
        <f>39398.853978*E40*F40</f>
        <v>39398.853978</v>
      </c>
      <c r="H40" s="11">
        <f>9618.035328*E40*F40</f>
        <v>9618.035328</v>
      </c>
      <c r="I40" s="11">
        <f>228.930156*E40*F40</f>
        <v>228.930156</v>
      </c>
      <c r="J40" s="11">
        <f>39651.482557764*E40*F40</f>
        <v>39651.482557764</v>
      </c>
      <c r="K40" s="11">
        <f>15557.027853459*E40*F40</f>
        <v>15557.027853459</v>
      </c>
      <c r="L40" s="15">
        <f t="shared" si="1"/>
        <v>1044.5432987322301</v>
      </c>
      <c r="M40" s="13">
        <f t="shared" si="4"/>
        <v>104454.329873223</v>
      </c>
    </row>
    <row r="41" spans="2:13" ht="25.5" thickBot="1" thickTop="1">
      <c r="B41" s="7">
        <v>37</v>
      </c>
      <c r="C41" s="5" t="s">
        <v>69</v>
      </c>
      <c r="D41" s="5" t="s">
        <v>70</v>
      </c>
      <c r="E41" s="9">
        <v>1</v>
      </c>
      <c r="F41" s="9">
        <v>1</v>
      </c>
      <c r="G41" s="11">
        <f>8763.9783*E41*F41</f>
        <v>8763.9783</v>
      </c>
      <c r="H41" s="11">
        <f>22047.959187648*E41*F41</f>
        <v>22047.959187648</v>
      </c>
      <c r="I41" s="11">
        <f>0*E41*F41</f>
        <v>0</v>
      </c>
      <c r="J41" s="11">
        <f>8781.5062566*E41*F41</f>
        <v>8781.5062566</v>
      </c>
      <c r="K41" s="11">
        <f>6928.8526552434*E41*F41</f>
        <v>6928.8526552434</v>
      </c>
      <c r="L41" s="15">
        <f t="shared" si="1"/>
        <v>465.2229639949139</v>
      </c>
      <c r="M41" s="13">
        <f t="shared" si="4"/>
        <v>46522.296399491395</v>
      </c>
    </row>
    <row r="42" spans="2:13" ht="25.5" thickBot="1" thickTop="1">
      <c r="B42" s="7">
        <v>38</v>
      </c>
      <c r="C42" s="5" t="s">
        <v>71</v>
      </c>
      <c r="D42" s="5" t="s">
        <v>72</v>
      </c>
      <c r="E42" s="9">
        <v>1</v>
      </c>
      <c r="F42" s="9">
        <v>1</v>
      </c>
      <c r="G42" s="11">
        <f>10090.0404*E42*F42</f>
        <v>10090.0404</v>
      </c>
      <c r="H42" s="11">
        <f>4416.3777215592*E42*F42</f>
        <v>4416.3777215592</v>
      </c>
      <c r="I42" s="11">
        <f>0*E42*F42</f>
        <v>0</v>
      </c>
      <c r="J42" s="11">
        <f>10110.2204808*E42*F42</f>
        <v>10110.2204808</v>
      </c>
      <c r="K42" s="11">
        <f>4307.9117554129*E42*F42</f>
        <v>4307.9117554129</v>
      </c>
      <c r="L42" s="15">
        <f t="shared" si="1"/>
        <v>289.24550357772097</v>
      </c>
      <c r="M42" s="13">
        <f t="shared" si="4"/>
        <v>28924.5503577721</v>
      </c>
    </row>
    <row r="43" spans="2:13" ht="25.5" thickBot="1" thickTop="1">
      <c r="B43" s="7">
        <v>39</v>
      </c>
      <c r="C43" s="5" t="s">
        <v>73</v>
      </c>
      <c r="D43" s="5" t="s">
        <v>72</v>
      </c>
      <c r="E43" s="9">
        <v>1</v>
      </c>
      <c r="F43" s="9">
        <v>1</v>
      </c>
      <c r="G43" s="11">
        <f>11771.7138*E43*F43</f>
        <v>11771.7138</v>
      </c>
      <c r="H43" s="11">
        <f>8768.835273744*E43*F43</f>
        <v>8768.835273744</v>
      </c>
      <c r="I43" s="11">
        <f>0*E43*F43</f>
        <v>0</v>
      </c>
      <c r="J43" s="11">
        <f>11795.2572276*E43*F43</f>
        <v>11795.2572276</v>
      </c>
      <c r="K43" s="11">
        <f>5658.7661027352*E43*F43</f>
        <v>5658.7661027352</v>
      </c>
      <c r="L43" s="15">
        <f t="shared" si="1"/>
        <v>379.94572404079196</v>
      </c>
      <c r="M43" s="13">
        <f t="shared" si="4"/>
        <v>37994.5724040792</v>
      </c>
    </row>
    <row r="44" spans="2:13" ht="13.5" thickBot="1" thickTop="1">
      <c r="B44" s="7">
        <v>40</v>
      </c>
      <c r="C44" s="5" t="s">
        <v>74</v>
      </c>
      <c r="D44" s="5" t="s">
        <v>75</v>
      </c>
      <c r="E44" s="9">
        <v>1</v>
      </c>
      <c r="F44" s="9">
        <v>1</v>
      </c>
      <c r="G44" s="11">
        <f>1879.4688*E44*F44</f>
        <v>1879.4688</v>
      </c>
      <c r="H44" s="11">
        <f>767.0225129976*E44*F44</f>
        <v>767.0225129976</v>
      </c>
      <c r="I44" s="11">
        <f>0*E44*F44</f>
        <v>0</v>
      </c>
      <c r="J44" s="11">
        <f>1883.2277376*E44*F44</f>
        <v>1883.2277376</v>
      </c>
      <c r="K44" s="11">
        <f>792.70083385458*E44*F44</f>
        <v>792.70083385458</v>
      </c>
      <c r="L44" s="15">
        <f t="shared" si="1"/>
        <v>53.22419884452181</v>
      </c>
      <c r="M44" s="13">
        <f t="shared" si="4"/>
        <v>5322.419884452181</v>
      </c>
    </row>
    <row r="45" spans="2:13" ht="13.5" thickBot="1" thickTop="1">
      <c r="B45" s="7">
        <v>41</v>
      </c>
      <c r="C45" s="5" t="s">
        <v>76</v>
      </c>
      <c r="D45" s="5" t="s">
        <v>77</v>
      </c>
      <c r="E45" s="9">
        <v>1</v>
      </c>
      <c r="F45" s="9">
        <v>1</v>
      </c>
      <c r="G45" s="11">
        <f>3997.447245*E45*F45</f>
        <v>3997.447245</v>
      </c>
      <c r="H45" s="11">
        <f>38347.8714072*E45*F45</f>
        <v>38347.8714072</v>
      </c>
      <c r="I45" s="11">
        <f>115.29882*E45*F45</f>
        <v>115.29882</v>
      </c>
      <c r="J45" s="11">
        <f>4044.35949885*E45*F45</f>
        <v>4044.35949885</v>
      </c>
      <c r="K45" s="11">
        <f>8138.3709699338*E45*F45</f>
        <v>8138.3709699338</v>
      </c>
      <c r="L45" s="15">
        <f t="shared" si="1"/>
        <v>546.433479409838</v>
      </c>
      <c r="M45" s="13">
        <f t="shared" si="4"/>
        <v>54643.347940983804</v>
      </c>
    </row>
    <row r="46" spans="2:13" ht="13.5" thickBot="1" thickTop="1">
      <c r="B46" s="7">
        <v>42</v>
      </c>
      <c r="C46" s="5" t="s">
        <v>78</v>
      </c>
      <c r="D46" s="5" t="s">
        <v>79</v>
      </c>
      <c r="E46" s="9">
        <v>1</v>
      </c>
      <c r="F46" s="9">
        <v>1</v>
      </c>
      <c r="G46" s="11">
        <f>803.46618*E46*F46</f>
        <v>803.46618</v>
      </c>
      <c r="H46" s="11">
        <f>2410.059663432*E46*F46</f>
        <v>2410.059663432</v>
      </c>
      <c r="I46" s="11">
        <f>0*E46*F46</f>
        <v>0</v>
      </c>
      <c r="J46" s="11">
        <f>805.07311236*E46*F46</f>
        <v>805.07311236</v>
      </c>
      <c r="K46" s="11">
        <f>703.2548172636*E46*F46</f>
        <v>703.2548172636</v>
      </c>
      <c r="L46" s="15">
        <f>M46/F46/E46/10</f>
        <v>472.18537730556</v>
      </c>
      <c r="M46" s="13">
        <f t="shared" si="4"/>
        <v>4721.8537730556</v>
      </c>
    </row>
    <row r="47" spans="2:13" ht="37.5" thickBot="1" thickTop="1">
      <c r="B47" s="7">
        <v>43</v>
      </c>
      <c r="C47" s="5" t="s">
        <v>80</v>
      </c>
      <c r="D47" s="5" t="s">
        <v>23</v>
      </c>
      <c r="E47" s="9">
        <v>1</v>
      </c>
      <c r="F47" s="9">
        <v>1</v>
      </c>
      <c r="G47" s="11">
        <f>28619.415*E47*F47</f>
        <v>28619.415</v>
      </c>
      <c r="H47" s="11">
        <f>8874.8734464*E47*F47</f>
        <v>8874.8734464</v>
      </c>
      <c r="I47" s="11">
        <f>0*E47*F47</f>
        <v>0</v>
      </c>
      <c r="J47" s="11">
        <f>28676.65383*E47*F47</f>
        <v>28676.65383</v>
      </c>
      <c r="K47" s="11">
        <f>11579.91489837*E47*F47</f>
        <v>11579.91489837</v>
      </c>
      <c r="L47" s="15">
        <f t="shared" si="1"/>
        <v>777.5085717477</v>
      </c>
      <c r="M47" s="13">
        <f t="shared" si="4"/>
        <v>77750.85717477</v>
      </c>
    </row>
    <row r="48" spans="2:13" ht="37.5" thickBot="1" thickTop="1">
      <c r="B48" s="7">
        <v>44</v>
      </c>
      <c r="C48" s="5" t="s">
        <v>81</v>
      </c>
      <c r="D48" s="5" t="s">
        <v>23</v>
      </c>
      <c r="E48" s="9">
        <v>1</v>
      </c>
      <c r="F48" s="9">
        <v>1</v>
      </c>
      <c r="G48" s="11">
        <f>6650.80416*E48*F48</f>
        <v>6650.80416</v>
      </c>
      <c r="H48" s="11">
        <f>2803.350759952*E48*F48</f>
        <v>2803.350759952</v>
      </c>
      <c r="I48" s="11">
        <f>0*E48*F48</f>
        <v>0</v>
      </c>
      <c r="J48" s="11">
        <f>6664.10576832*E48*F48</f>
        <v>6664.10576832</v>
      </c>
      <c r="K48" s="11">
        <f>2820.6956204476*E48*F48</f>
        <v>2820.6956204476</v>
      </c>
      <c r="L48" s="15">
        <f t="shared" si="1"/>
        <v>189.389563087196</v>
      </c>
      <c r="M48" s="13">
        <f t="shared" si="4"/>
        <v>18938.9563087196</v>
      </c>
    </row>
    <row r="49" spans="2:13" ht="13.5" thickBot="1" thickTop="1">
      <c r="B49" s="7">
        <v>45</v>
      </c>
      <c r="C49" s="5" t="s">
        <v>82</v>
      </c>
      <c r="D49" s="5" t="s">
        <v>83</v>
      </c>
      <c r="E49" s="9">
        <v>1</v>
      </c>
      <c r="F49" s="9">
        <v>1</v>
      </c>
      <c r="G49" s="11">
        <f>26748.803664*E49*F49</f>
        <v>26748.803664</v>
      </c>
      <c r="H49" s="11">
        <f>7678.25604*E49*F49</f>
        <v>7678.25604</v>
      </c>
      <c r="I49" s="11">
        <f>4.85628*E49*F49</f>
        <v>4.85628</v>
      </c>
      <c r="J49" s="11">
        <f>26802.301271328*E49*F49</f>
        <v>26802.301271328</v>
      </c>
      <c r="K49" s="11">
        <f>10715.988019682*E49*F49</f>
        <v>10715.988019682</v>
      </c>
      <c r="L49" s="15">
        <f t="shared" si="1"/>
        <v>719.5020527501</v>
      </c>
      <c r="M49" s="13">
        <f t="shared" si="4"/>
        <v>71950.20527501</v>
      </c>
    </row>
    <row r="50" spans="2:13" ht="13.5" thickBot="1" thickTop="1">
      <c r="B50" s="7">
        <v>46</v>
      </c>
      <c r="C50" s="5" t="s">
        <v>84</v>
      </c>
      <c r="D50" s="5" t="s">
        <v>85</v>
      </c>
      <c r="E50" s="9">
        <v>1</v>
      </c>
      <c r="F50" s="9">
        <v>1</v>
      </c>
      <c r="G50" s="11">
        <f>34567.731*E50*F50</f>
        <v>34567.731</v>
      </c>
      <c r="H50" s="11">
        <f>420410.98322424*E50*F50</f>
        <v>420410.98322424</v>
      </c>
      <c r="I50" s="11">
        <f>0*E50*F50</f>
        <v>0</v>
      </c>
      <c r="J50" s="11">
        <f>34636.866462*E50*F50</f>
        <v>34636.866462</v>
      </c>
      <c r="K50" s="11">
        <f>85682.726620092*E50*F50</f>
        <v>85682.726620092</v>
      </c>
      <c r="L50" s="15">
        <f t="shared" si="1"/>
        <v>5752.98307306332</v>
      </c>
      <c r="M50" s="13">
        <f t="shared" si="4"/>
        <v>575298.307306332</v>
      </c>
    </row>
    <row r="51" spans="2:13" ht="37.5" thickBot="1" thickTop="1">
      <c r="B51" s="7">
        <v>47</v>
      </c>
      <c r="C51" s="5" t="s">
        <v>86</v>
      </c>
      <c r="D51" s="5" t="s">
        <v>87</v>
      </c>
      <c r="E51" s="9">
        <v>1</v>
      </c>
      <c r="F51" s="9">
        <v>1</v>
      </c>
      <c r="G51" s="11">
        <f>7010.79291*E51*F51</f>
        <v>7010.79291</v>
      </c>
      <c r="H51" s="11">
        <f>3495.820580784*E51*F51</f>
        <v>3495.820580784</v>
      </c>
      <c r="I51" s="11">
        <f>0*E51*F51</f>
        <v>0</v>
      </c>
      <c r="J51" s="11">
        <f>7024.81449582*E51*F51</f>
        <v>7024.81449582</v>
      </c>
      <c r="K51" s="11">
        <f>3067.9998976557*E51*F51</f>
        <v>3067.9998976557</v>
      </c>
      <c r="L51" s="15">
        <f t="shared" si="1"/>
        <v>205.99427884259703</v>
      </c>
      <c r="M51" s="13">
        <f t="shared" si="4"/>
        <v>20599.4278842597</v>
      </c>
    </row>
    <row r="52" spans="2:13" ht="25.5" thickBot="1" thickTop="1">
      <c r="B52" s="7">
        <v>48</v>
      </c>
      <c r="C52" s="5" t="s">
        <v>88</v>
      </c>
      <c r="D52" s="5" t="s">
        <v>36</v>
      </c>
      <c r="E52" s="9">
        <v>1</v>
      </c>
      <c r="F52" s="9">
        <v>1</v>
      </c>
      <c r="G52" s="11">
        <f>3192.843192*E52*F52</f>
        <v>3192.843192</v>
      </c>
      <c r="H52" s="11">
        <f>2098.428422544*E52*F52</f>
        <v>2098.428422544</v>
      </c>
      <c r="I52" s="11">
        <f>0.44148*E52*F52</f>
        <v>0.44148</v>
      </c>
      <c r="J52" s="11">
        <f>3199.228878384*E52*F52</f>
        <v>3199.228878384</v>
      </c>
      <c r="K52" s="11">
        <f>1485.9148452624*E52*F52</f>
        <v>1485.9148452624</v>
      </c>
      <c r="L52" s="15">
        <f t="shared" si="1"/>
        <v>99.76856818190399</v>
      </c>
      <c r="M52" s="13">
        <f t="shared" si="4"/>
        <v>9976.8568181904</v>
      </c>
    </row>
    <row r="53" spans="2:13" ht="25.5" thickBot="1" thickTop="1">
      <c r="B53" s="7">
        <v>49</v>
      </c>
      <c r="C53" s="5" t="s">
        <v>89</v>
      </c>
      <c r="D53" s="5" t="s">
        <v>36</v>
      </c>
      <c r="E53" s="9">
        <v>1</v>
      </c>
      <c r="F53" s="9">
        <v>1</v>
      </c>
      <c r="G53" s="11">
        <f>7869.6948*E53*F53</f>
        <v>7869.6948</v>
      </c>
      <c r="H53" s="11">
        <f>6418.2093486912*E53*F53</f>
        <v>6418.2093486912</v>
      </c>
      <c r="I53" s="11">
        <f aca="true" t="shared" si="5" ref="I53:I82">0*E53*F53</f>
        <v>0</v>
      </c>
      <c r="J53" s="11">
        <f>7885.4341896*E53*F53</f>
        <v>7885.4341896</v>
      </c>
      <c r="K53" s="11">
        <f>3880.334209201*E53*F53</f>
        <v>3880.334209201</v>
      </c>
      <c r="L53" s="15">
        <f t="shared" si="1"/>
        <v>260.536725474922</v>
      </c>
      <c r="M53" s="13">
        <f t="shared" si="4"/>
        <v>26053.6725474922</v>
      </c>
    </row>
    <row r="54" spans="2:13" ht="37.5" thickBot="1" thickTop="1">
      <c r="B54" s="7">
        <v>50</v>
      </c>
      <c r="C54" s="5" t="s">
        <v>22</v>
      </c>
      <c r="D54" s="5" t="s">
        <v>23</v>
      </c>
      <c r="E54" s="9">
        <v>1</v>
      </c>
      <c r="F54" s="9">
        <v>1</v>
      </c>
      <c r="G54" s="11">
        <f>22799.784*E54*F54</f>
        <v>22799.784</v>
      </c>
      <c r="H54" s="11">
        <f>55890.004032*E54*F54</f>
        <v>55890.004032</v>
      </c>
      <c r="I54" s="11">
        <f t="shared" si="5"/>
        <v>0</v>
      </c>
      <c r="J54" s="11">
        <f>22845.383568*E54*F54</f>
        <v>22845.383568</v>
      </c>
      <c r="K54" s="11">
        <f>17768.65503*E54*F54</f>
        <v>17768.65503</v>
      </c>
      <c r="L54" s="15">
        <f t="shared" si="1"/>
        <v>1193.0382663</v>
      </c>
      <c r="M54" s="13">
        <f t="shared" si="4"/>
        <v>119303.82663</v>
      </c>
    </row>
    <row r="55" spans="2:13" ht="37.5" thickBot="1" thickTop="1">
      <c r="B55" s="7">
        <v>51</v>
      </c>
      <c r="C55" s="5" t="s">
        <v>90</v>
      </c>
      <c r="D55" s="5" t="s">
        <v>23</v>
      </c>
      <c r="E55" s="9">
        <v>1</v>
      </c>
      <c r="F55" s="9">
        <v>1</v>
      </c>
      <c r="G55" s="11">
        <f>28619.415*E55*F55</f>
        <v>28619.415</v>
      </c>
      <c r="H55" s="11">
        <f>8874.8734464*E55*F55</f>
        <v>8874.8734464</v>
      </c>
      <c r="I55" s="11">
        <f t="shared" si="5"/>
        <v>0</v>
      </c>
      <c r="J55" s="11">
        <f>28676.65383*E55*F55</f>
        <v>28676.65383</v>
      </c>
      <c r="K55" s="11">
        <f>11579.91489837*E55*F55</f>
        <v>11579.91489837</v>
      </c>
      <c r="L55" s="15">
        <f t="shared" si="1"/>
        <v>777.5085717477</v>
      </c>
      <c r="M55" s="13">
        <f t="shared" si="4"/>
        <v>77750.85717477</v>
      </c>
    </row>
    <row r="56" spans="2:13" ht="25.5" thickBot="1" thickTop="1">
      <c r="B56" s="7">
        <v>52</v>
      </c>
      <c r="C56" s="5" t="s">
        <v>91</v>
      </c>
      <c r="D56" s="5" t="s">
        <v>92</v>
      </c>
      <c r="E56" s="9">
        <v>1</v>
      </c>
      <c r="F56" s="9">
        <v>1</v>
      </c>
      <c r="G56" s="11">
        <f>14666.2494*E56*F56</f>
        <v>14666.2494</v>
      </c>
      <c r="H56" s="11">
        <f>25502.05657296*E56*F56</f>
        <v>25502.05657296</v>
      </c>
      <c r="I56" s="11">
        <f t="shared" si="5"/>
        <v>0</v>
      </c>
      <c r="J56" s="11">
        <f>14695.5818988*E56*F56</f>
        <v>14695.5818988</v>
      </c>
      <c r="K56" s="11">
        <f>9601.180377558*E56*F56</f>
        <v>9601.180377558</v>
      </c>
      <c r="L56" s="15">
        <f t="shared" si="1"/>
        <v>644.6506824931799</v>
      </c>
      <c r="M56" s="13">
        <f t="shared" si="4"/>
        <v>64465.068249318</v>
      </c>
    </row>
    <row r="57" spans="2:13" ht="37.5" thickBot="1" thickTop="1">
      <c r="B57" s="7">
        <v>53</v>
      </c>
      <c r="C57" s="5" t="s">
        <v>93</v>
      </c>
      <c r="D57" s="5" t="s">
        <v>92</v>
      </c>
      <c r="E57" s="9">
        <v>1</v>
      </c>
      <c r="F57" s="9">
        <v>1</v>
      </c>
      <c r="G57" s="11">
        <f>20747.3772*E57*F57</f>
        <v>20747.3772</v>
      </c>
      <c r="H57" s="11">
        <f>44655.50250432*E57*F57</f>
        <v>44655.50250432</v>
      </c>
      <c r="I57" s="11">
        <f t="shared" si="5"/>
        <v>0</v>
      </c>
      <c r="J57" s="11">
        <f>20788.8719544*E57*F57</f>
        <v>20788.8719544</v>
      </c>
      <c r="K57" s="11">
        <f>15083.556540276*E57*F57</f>
        <v>15083.556540276</v>
      </c>
      <c r="L57" s="15">
        <f t="shared" si="1"/>
        <v>1012.75308198996</v>
      </c>
      <c r="M57" s="13">
        <f t="shared" si="4"/>
        <v>101275.308198996</v>
      </c>
    </row>
    <row r="58" spans="2:13" ht="25.5" thickBot="1" thickTop="1">
      <c r="B58" s="7">
        <v>54</v>
      </c>
      <c r="C58" s="5" t="s">
        <v>94</v>
      </c>
      <c r="D58" s="5" t="s">
        <v>95</v>
      </c>
      <c r="E58" s="9">
        <v>1</v>
      </c>
      <c r="F58" s="9">
        <v>1</v>
      </c>
      <c r="G58" s="11">
        <f>21105.0906*E58*F58</f>
        <v>21105.0906</v>
      </c>
      <c r="H58" s="11">
        <f>28637.181685584*E58*F58</f>
        <v>28637.181685584</v>
      </c>
      <c r="I58" s="11">
        <f t="shared" si="5"/>
        <v>0</v>
      </c>
      <c r="J58" s="11">
        <f>21147.3007812*E58*F58</f>
        <v>21147.3007812</v>
      </c>
      <c r="K58" s="11">
        <f>12405.675286687*E58*F58</f>
        <v>12405.675286687</v>
      </c>
      <c r="L58" s="15">
        <f t="shared" si="1"/>
        <v>832.9524835347099</v>
      </c>
      <c r="M58" s="13">
        <f t="shared" si="4"/>
        <v>83295.24835347099</v>
      </c>
    </row>
    <row r="59" spans="2:13" ht="25.5" thickBot="1" thickTop="1">
      <c r="B59" s="7">
        <v>55</v>
      </c>
      <c r="C59" s="5" t="s">
        <v>96</v>
      </c>
      <c r="D59" s="5" t="s">
        <v>36</v>
      </c>
      <c r="E59" s="9">
        <v>1</v>
      </c>
      <c r="F59" s="9">
        <v>1</v>
      </c>
      <c r="G59" s="11">
        <f>2146.2804*E59*F59</f>
        <v>2146.2804</v>
      </c>
      <c r="H59" s="11">
        <f>4341.792075552*E59*F59</f>
        <v>4341.792075552</v>
      </c>
      <c r="I59" s="11">
        <f t="shared" si="5"/>
        <v>0</v>
      </c>
      <c r="J59" s="11">
        <f>2150.5729608*E59*F59</f>
        <v>2150.5729608</v>
      </c>
      <c r="K59" s="11">
        <f>1511.7629513616*E59*F59</f>
        <v>1511.7629513616</v>
      </c>
      <c r="L59" s="15">
        <f t="shared" si="1"/>
        <v>101.504083877136</v>
      </c>
      <c r="M59" s="13">
        <f t="shared" si="4"/>
        <v>10150.4083877136</v>
      </c>
    </row>
    <row r="60" spans="2:13" ht="13.5" thickBot="1" thickTop="1">
      <c r="B60" s="7">
        <v>56</v>
      </c>
      <c r="C60" s="5" t="s">
        <v>97</v>
      </c>
      <c r="D60" s="5" t="s">
        <v>98</v>
      </c>
      <c r="E60" s="9">
        <v>1</v>
      </c>
      <c r="F60" s="9">
        <v>1</v>
      </c>
      <c r="G60" s="11">
        <f>9921.3972*E60*F60</f>
        <v>9921.3972</v>
      </c>
      <c r="H60" s="11">
        <f>55936.334571552*E60*F60</f>
        <v>55936.334571552</v>
      </c>
      <c r="I60" s="11">
        <f t="shared" si="5"/>
        <v>0</v>
      </c>
      <c r="J60" s="11">
        <f>9941.2399944*E60*F60</f>
        <v>9941.2399944</v>
      </c>
      <c r="K60" s="11">
        <f>13264.820059042*E60*F60</f>
        <v>13264.820059042</v>
      </c>
      <c r="L60" s="15">
        <f t="shared" si="1"/>
        <v>890.6379182499401</v>
      </c>
      <c r="M60" s="13">
        <f t="shared" si="4"/>
        <v>89063.79182499401</v>
      </c>
    </row>
    <row r="61" spans="2:13" ht="13.5" thickBot="1" thickTop="1">
      <c r="B61" s="7">
        <v>57</v>
      </c>
      <c r="C61" s="5" t="s">
        <v>99</v>
      </c>
      <c r="D61" s="5" t="s">
        <v>98</v>
      </c>
      <c r="E61" s="9">
        <v>1</v>
      </c>
      <c r="F61" s="9">
        <v>1</v>
      </c>
      <c r="G61" s="11">
        <f>22895.532*E61*F61</f>
        <v>22895.532</v>
      </c>
      <c r="H61" s="11">
        <f>55936.334571552*E61*F61</f>
        <v>55936.334571552</v>
      </c>
      <c r="I61" s="11">
        <f t="shared" si="5"/>
        <v>0</v>
      </c>
      <c r="J61" s="11">
        <f>22941.323064*E61*F61</f>
        <v>22941.323064</v>
      </c>
      <c r="K61" s="11">
        <f>17810.308186222*E61*F61</f>
        <v>17810.308186222</v>
      </c>
      <c r="L61" s="15">
        <f t="shared" si="1"/>
        <v>1195.83497821774</v>
      </c>
      <c r="M61" s="13">
        <f t="shared" si="4"/>
        <v>119583.497821774</v>
      </c>
    </row>
    <row r="62" spans="2:13" ht="13.5" thickBot="1" thickTop="1">
      <c r="B62" s="7">
        <v>58</v>
      </c>
      <c r="C62" s="5" t="s">
        <v>100</v>
      </c>
      <c r="D62" s="5" t="s">
        <v>98</v>
      </c>
      <c r="E62" s="9">
        <v>1</v>
      </c>
      <c r="F62" s="9">
        <v>1</v>
      </c>
      <c r="G62" s="11">
        <f>7250.2518*E62*F62</f>
        <v>7250.2518</v>
      </c>
      <c r="H62" s="11">
        <f>32439.933240768*E62*F62</f>
        <v>32439.933240768</v>
      </c>
      <c r="I62" s="11">
        <f t="shared" si="5"/>
        <v>0</v>
      </c>
      <c r="J62" s="11">
        <f>7264.7523036*E62*F62</f>
        <v>7264.7523036</v>
      </c>
      <c r="K62" s="11">
        <f>8217.1140352644*E62*F62</f>
        <v>8217.1140352644</v>
      </c>
      <c r="L62" s="15">
        <f t="shared" si="1"/>
        <v>551.720513796324</v>
      </c>
      <c r="M62" s="13">
        <f t="shared" si="4"/>
        <v>55172.0513796324</v>
      </c>
    </row>
    <row r="63" spans="2:13" ht="13.5" thickBot="1" thickTop="1">
      <c r="B63" s="7">
        <v>59</v>
      </c>
      <c r="C63" s="5" t="s">
        <v>101</v>
      </c>
      <c r="D63" s="5" t="s">
        <v>102</v>
      </c>
      <c r="E63" s="9">
        <v>1</v>
      </c>
      <c r="F63" s="9">
        <v>1</v>
      </c>
      <c r="G63" s="11">
        <f>10875.3777*E63*F63</f>
        <v>10875.3777</v>
      </c>
      <c r="H63" s="11">
        <f>28495.317456922*E63*F63</f>
        <v>28495.317456922</v>
      </c>
      <c r="I63" s="11">
        <f t="shared" si="5"/>
        <v>0</v>
      </c>
      <c r="J63" s="11">
        <f>10897.1284554*E63*F63</f>
        <v>10897.1284554</v>
      </c>
      <c r="K63" s="11">
        <f>8796.8691321563*E63*F63</f>
        <v>8796.8691321563</v>
      </c>
      <c r="L63" s="15">
        <f t="shared" si="1"/>
        <v>590.646927444783</v>
      </c>
      <c r="M63" s="13">
        <f t="shared" si="4"/>
        <v>59064.6927444783</v>
      </c>
    </row>
    <row r="64" spans="2:13" ht="25.5" thickBot="1" thickTop="1">
      <c r="B64" s="7">
        <v>60</v>
      </c>
      <c r="C64" s="5" t="s">
        <v>103</v>
      </c>
      <c r="D64" s="5" t="s">
        <v>36</v>
      </c>
      <c r="E64" s="9">
        <v>1</v>
      </c>
      <c r="F64" s="9">
        <v>1</v>
      </c>
      <c r="G64" s="11">
        <f>3934.8474*E64*F64</f>
        <v>3934.8474</v>
      </c>
      <c r="H64" s="11">
        <f>2411.19845712*E64*F64</f>
        <v>2411.19845712</v>
      </c>
      <c r="I64" s="11">
        <f t="shared" si="5"/>
        <v>0</v>
      </c>
      <c r="J64" s="11">
        <f>3942.7170948*E64*F64</f>
        <v>3942.7170948</v>
      </c>
      <c r="K64" s="11">
        <f>1800.533516586*E64*F64</f>
        <v>1800.533516586</v>
      </c>
      <c r="L64" s="15">
        <f t="shared" si="1"/>
        <v>120.89296468506</v>
      </c>
      <c r="M64" s="13">
        <f t="shared" si="4"/>
        <v>12089.296468506</v>
      </c>
    </row>
    <row r="65" spans="2:13" ht="25.5" thickBot="1" thickTop="1">
      <c r="B65" s="7">
        <v>61</v>
      </c>
      <c r="C65" s="5" t="s">
        <v>104</v>
      </c>
      <c r="D65" s="5" t="s">
        <v>92</v>
      </c>
      <c r="E65" s="9">
        <v>1</v>
      </c>
      <c r="F65" s="9">
        <v>1</v>
      </c>
      <c r="G65" s="11">
        <f>11804.5422*E65*F65</f>
        <v>11804.5422</v>
      </c>
      <c r="H65" s="11">
        <f>30455.09037072*E65*F65</f>
        <v>30455.09037072</v>
      </c>
      <c r="I65" s="11">
        <f t="shared" si="5"/>
        <v>0</v>
      </c>
      <c r="J65" s="11">
        <f>11828.1512844*E65*F65</f>
        <v>11828.1512844</v>
      </c>
      <c r="K65" s="11">
        <f>9465.362174646*E65*F65</f>
        <v>9465.362174646</v>
      </c>
      <c r="L65" s="15">
        <f t="shared" si="1"/>
        <v>635.53146029766</v>
      </c>
      <c r="M65" s="13">
        <f t="shared" si="4"/>
        <v>63553.146029766</v>
      </c>
    </row>
    <row r="66" spans="2:13" ht="25.5" thickBot="1" thickTop="1">
      <c r="B66" s="7">
        <v>62</v>
      </c>
      <c r="C66" s="5" t="s">
        <v>105</v>
      </c>
      <c r="D66" s="5" t="s">
        <v>106</v>
      </c>
      <c r="E66" s="9">
        <v>1</v>
      </c>
      <c r="F66" s="9">
        <v>1</v>
      </c>
      <c r="G66" s="11">
        <f>15202.8195*E66*F66</f>
        <v>15202.8195</v>
      </c>
      <c r="H66" s="11">
        <f>17806.61163168*E66*F66</f>
        <v>17806.61163168</v>
      </c>
      <c r="I66" s="11">
        <f t="shared" si="5"/>
        <v>0</v>
      </c>
      <c r="J66" s="11">
        <f>15233.225139*E66*F66</f>
        <v>15233.225139</v>
      </c>
      <c r="K66" s="11">
        <f>8442.464847369*E66*F66</f>
        <v>8442.464847369</v>
      </c>
      <c r="L66" s="15">
        <f t="shared" si="1"/>
        <v>566.85121118049</v>
      </c>
      <c r="M66" s="13">
        <f t="shared" si="4"/>
        <v>56685.121118049006</v>
      </c>
    </row>
    <row r="67" spans="2:13" ht="25.5" thickBot="1" thickTop="1">
      <c r="B67" s="7">
        <v>63</v>
      </c>
      <c r="C67" s="5" t="s">
        <v>107</v>
      </c>
      <c r="D67" s="5" t="s">
        <v>106</v>
      </c>
      <c r="E67" s="9">
        <v>1</v>
      </c>
      <c r="F67" s="9">
        <v>1</v>
      </c>
      <c r="G67" s="11">
        <f>38811.9039*E67*F67</f>
        <v>38811.9039</v>
      </c>
      <c r="H67" s="11">
        <f>17806.61163168*E67*F67</f>
        <v>17806.61163168</v>
      </c>
      <c r="I67" s="11">
        <f t="shared" si="5"/>
        <v>0</v>
      </c>
      <c r="J67" s="11">
        <f>38889.5277078*E67*F67</f>
        <v>38889.5277078</v>
      </c>
      <c r="K67" s="11">
        <f>16713.907566909*E67*F67</f>
        <v>16713.907566909</v>
      </c>
      <c r="L67" s="15">
        <f t="shared" si="1"/>
        <v>1122.21950806389</v>
      </c>
      <c r="M67" s="13">
        <f t="shared" si="4"/>
        <v>112221.95080638901</v>
      </c>
    </row>
    <row r="68" spans="2:13" ht="25.5" thickBot="1" thickTop="1">
      <c r="B68" s="7">
        <v>64</v>
      </c>
      <c r="C68" s="5" t="s">
        <v>108</v>
      </c>
      <c r="D68" s="5" t="s">
        <v>36</v>
      </c>
      <c r="E68" s="9">
        <v>1</v>
      </c>
      <c r="F68" s="9">
        <v>1</v>
      </c>
      <c r="G68" s="11">
        <f>9479.4051*E68*F68</f>
        <v>9479.4051</v>
      </c>
      <c r="H68" s="11">
        <f>6660.4695486912*E68*F68</f>
        <v>6660.4695486912</v>
      </c>
      <c r="I68" s="11">
        <f t="shared" si="5"/>
        <v>0</v>
      </c>
      <c r="J68" s="11">
        <f>9498.3639102*E68*F68</f>
        <v>9498.3639102</v>
      </c>
      <c r="K68" s="11">
        <f>4486.691747806*E68*F68</f>
        <v>4486.691747806</v>
      </c>
      <c r="L68" s="15">
        <f t="shared" si="1"/>
        <v>301.249303066972</v>
      </c>
      <c r="M68" s="13">
        <f t="shared" si="4"/>
        <v>30124.9303066972</v>
      </c>
    </row>
    <row r="69" spans="2:13" ht="13.5" thickBot="1" thickTop="1">
      <c r="B69" s="7">
        <v>65</v>
      </c>
      <c r="C69" s="5" t="s">
        <v>109</v>
      </c>
      <c r="D69" s="5" t="s">
        <v>110</v>
      </c>
      <c r="E69" s="9">
        <v>1</v>
      </c>
      <c r="F69" s="9">
        <v>1</v>
      </c>
      <c r="G69" s="11">
        <f>10194.8319*E69*F69</f>
        <v>10194.8319</v>
      </c>
      <c r="H69" s="11">
        <f>7606.84287996*E69*F69</f>
        <v>7606.84287996</v>
      </c>
      <c r="I69" s="11">
        <f t="shared" si="5"/>
        <v>0</v>
      </c>
      <c r="J69" s="11">
        <f>10215.2215638*E69*F69</f>
        <v>10215.2215638</v>
      </c>
      <c r="K69" s="11">
        <f>4902.956860158*E69*F69</f>
        <v>4902.956860158</v>
      </c>
      <c r="L69" s="15">
        <f t="shared" si="1"/>
        <v>329.19853203918</v>
      </c>
      <c r="M69" s="13">
        <f aca="true" t="shared" si="6" ref="M69:M100">SUM(G69:K69)</f>
        <v>32919.853203918</v>
      </c>
    </row>
    <row r="70" spans="2:13" ht="13.5" thickBot="1" thickTop="1">
      <c r="B70" s="7">
        <v>66</v>
      </c>
      <c r="C70" s="5" t="s">
        <v>111</v>
      </c>
      <c r="D70" s="5" t="s">
        <v>112</v>
      </c>
      <c r="E70" s="9">
        <v>1</v>
      </c>
      <c r="F70" s="9">
        <v>1</v>
      </c>
      <c r="G70" s="11">
        <f>12740.320824*E70*F70</f>
        <v>12740.320824</v>
      </c>
      <c r="H70" s="11">
        <f>14943.513517776*E70*F70</f>
        <v>14943.513517776</v>
      </c>
      <c r="I70" s="11">
        <f t="shared" si="5"/>
        <v>0</v>
      </c>
      <c r="J70" s="11">
        <f>12765.801465648*E70*F70</f>
        <v>12765.801465648</v>
      </c>
      <c r="K70" s="11">
        <f>7078.6862662992*E70*F70</f>
        <v>7078.6862662992</v>
      </c>
      <c r="L70" s="15">
        <f>M70/F70/E70/10</f>
        <v>4752.832207372319</v>
      </c>
      <c r="M70" s="13">
        <f t="shared" si="6"/>
        <v>47528.3220737232</v>
      </c>
    </row>
    <row r="71" spans="2:13" ht="13.5" thickBot="1" thickTop="1">
      <c r="B71" s="7">
        <v>67</v>
      </c>
      <c r="C71" s="5" t="s">
        <v>113</v>
      </c>
      <c r="D71" s="5" t="s">
        <v>112</v>
      </c>
      <c r="E71" s="9">
        <v>1</v>
      </c>
      <c r="F71" s="9">
        <v>1</v>
      </c>
      <c r="G71" s="11">
        <f>35322.797268*E71*F71</f>
        <v>35322.797268</v>
      </c>
      <c r="H71" s="11">
        <f>18764.987455296*E71*F71</f>
        <v>18764.987455296</v>
      </c>
      <c r="I71" s="11">
        <f t="shared" si="5"/>
        <v>0</v>
      </c>
      <c r="J71" s="11">
        <f>35393.442862536*E71*F71</f>
        <v>35393.442862536</v>
      </c>
      <c r="K71" s="11">
        <f>15659.214827521*E71*F71</f>
        <v>15659.214827521</v>
      </c>
      <c r="L71" s="15">
        <f>M71/F71/E71/10</f>
        <v>10514.044241335301</v>
      </c>
      <c r="M71" s="13">
        <f t="shared" si="6"/>
        <v>105140.44241335301</v>
      </c>
    </row>
    <row r="72" spans="2:13" ht="37.5" thickBot="1" thickTop="1">
      <c r="B72" s="7">
        <v>68</v>
      </c>
      <c r="C72" s="5" t="s">
        <v>114</v>
      </c>
      <c r="D72" s="5" t="s">
        <v>115</v>
      </c>
      <c r="E72" s="9">
        <v>1</v>
      </c>
      <c r="F72" s="9">
        <v>1</v>
      </c>
      <c r="G72" s="11">
        <f>13827.0924*E72*F72</f>
        <v>13827.0924</v>
      </c>
      <c r="H72" s="11">
        <f>8267.56899804*E72*F72</f>
        <v>8267.56899804</v>
      </c>
      <c r="I72" s="11">
        <f t="shared" si="5"/>
        <v>0</v>
      </c>
      <c r="J72" s="11">
        <f>13854.7465848*E72*F72</f>
        <v>13854.7465848</v>
      </c>
      <c r="K72" s="11">
        <f>6291.146396997*E72*F72</f>
        <v>6291.146396997</v>
      </c>
      <c r="L72" s="15">
        <f>M72/F72/E72/10</f>
        <v>4224.055437983699</v>
      </c>
      <c r="M72" s="13">
        <f t="shared" si="6"/>
        <v>42240.554379837</v>
      </c>
    </row>
    <row r="73" spans="2:13" ht="37.5" thickBot="1" thickTop="1">
      <c r="B73" s="7">
        <v>69</v>
      </c>
      <c r="C73" s="5" t="s">
        <v>116</v>
      </c>
      <c r="D73" s="5" t="s">
        <v>115</v>
      </c>
      <c r="E73" s="9">
        <v>1</v>
      </c>
      <c r="F73" s="9">
        <v>1</v>
      </c>
      <c r="G73" s="11">
        <f>19656.89352*E73*F73</f>
        <v>19656.89352</v>
      </c>
      <c r="H73" s="11">
        <f>10692.7156206*E73*F73</f>
        <v>10692.7156206</v>
      </c>
      <c r="I73" s="11">
        <f t="shared" si="5"/>
        <v>0</v>
      </c>
      <c r="J73" s="11">
        <f>19696.20730704*E73*F73</f>
        <v>19696.20730704</v>
      </c>
      <c r="K73" s="11">
        <f>8758.017878337*E73*F73</f>
        <v>8758.017878337</v>
      </c>
      <c r="L73" s="15">
        <f aca="true" t="shared" si="7" ref="L73:L131">M73/F73/E73/100</f>
        <v>588.0383432597699</v>
      </c>
      <c r="M73" s="13">
        <f t="shared" si="6"/>
        <v>58803.834325977</v>
      </c>
    </row>
    <row r="74" spans="2:13" ht="25.5" thickBot="1" thickTop="1">
      <c r="B74" s="7">
        <v>70</v>
      </c>
      <c r="C74" s="5" t="s">
        <v>117</v>
      </c>
      <c r="D74" s="5" t="s">
        <v>118</v>
      </c>
      <c r="E74" s="9">
        <v>1</v>
      </c>
      <c r="F74" s="9">
        <v>1</v>
      </c>
      <c r="G74" s="11">
        <f>1137.94956*E74*F74</f>
        <v>1137.94956</v>
      </c>
      <c r="H74" s="11">
        <f>253.0704269952*E74*F74</f>
        <v>253.0704269952</v>
      </c>
      <c r="I74" s="11">
        <f t="shared" si="5"/>
        <v>0</v>
      </c>
      <c r="J74" s="11">
        <f>1140.22545912*E74*F74</f>
        <v>1140.22545912</v>
      </c>
      <c r="K74" s="11">
        <f>442.96795307016*E74*F74</f>
        <v>442.96795307016</v>
      </c>
      <c r="L74" s="15">
        <f>M74/F74/E74/10</f>
        <v>297.42133991853603</v>
      </c>
      <c r="M74" s="13">
        <f t="shared" si="6"/>
        <v>2974.2133991853602</v>
      </c>
    </row>
    <row r="75" spans="2:13" ht="25.5" thickBot="1" thickTop="1">
      <c r="B75" s="7">
        <v>71</v>
      </c>
      <c r="C75" s="5" t="s">
        <v>119</v>
      </c>
      <c r="D75" s="5" t="s">
        <v>118</v>
      </c>
      <c r="E75" s="9">
        <v>1</v>
      </c>
      <c r="F75" s="9">
        <v>1</v>
      </c>
      <c r="G75" s="11">
        <f>1053.657*E75*F75</f>
        <v>1053.657</v>
      </c>
      <c r="H75" s="11">
        <f>255.607763328*E75*F75</f>
        <v>255.607763328</v>
      </c>
      <c r="I75" s="11">
        <f t="shared" si="5"/>
        <v>0</v>
      </c>
      <c r="J75" s="11">
        <f>1055.764314*E75*F75</f>
        <v>1055.764314</v>
      </c>
      <c r="K75" s="11">
        <f>413.8800885324*E75*F75</f>
        <v>413.8800885324</v>
      </c>
      <c r="L75" s="15">
        <f>M75/F75/E75/10</f>
        <v>277.89091658603996</v>
      </c>
      <c r="M75" s="13">
        <f t="shared" si="6"/>
        <v>2778.9091658603998</v>
      </c>
    </row>
    <row r="76" spans="2:13" ht="25.5" thickBot="1" thickTop="1">
      <c r="B76" s="7">
        <v>72</v>
      </c>
      <c r="C76" s="5" t="s">
        <v>120</v>
      </c>
      <c r="D76" s="5" t="s">
        <v>121</v>
      </c>
      <c r="E76" s="9">
        <v>1</v>
      </c>
      <c r="F76" s="9">
        <v>1</v>
      </c>
      <c r="G76" s="11">
        <f>33.633468*E76*F76</f>
        <v>33.633468</v>
      </c>
      <c r="H76" s="11">
        <f>56.854975032*E76*F76</f>
        <v>56.854975032</v>
      </c>
      <c r="I76" s="11">
        <f t="shared" si="5"/>
        <v>0</v>
      </c>
      <c r="J76" s="11">
        <f>33.700734936*E76*F76</f>
        <v>33.700734936</v>
      </c>
      <c r="K76" s="11">
        <f>21.7331061444*E76*F76</f>
        <v>21.7331061444</v>
      </c>
      <c r="L76" s="15">
        <f>M76/F76/E76</f>
        <v>145.9222841124</v>
      </c>
      <c r="M76" s="13">
        <f t="shared" si="6"/>
        <v>145.9222841124</v>
      </c>
    </row>
    <row r="77" spans="2:13" ht="13.5" thickBot="1" thickTop="1">
      <c r="B77" s="7">
        <v>73</v>
      </c>
      <c r="C77" s="5" t="s">
        <v>122</v>
      </c>
      <c r="D77" s="5" t="s">
        <v>121</v>
      </c>
      <c r="E77" s="9">
        <v>1</v>
      </c>
      <c r="F77" s="9">
        <v>1</v>
      </c>
      <c r="G77" s="11">
        <f>11.211156*E77*F77</f>
        <v>11.211156</v>
      </c>
      <c r="H77" s="11">
        <f>0.755627832*E77*F77</f>
        <v>0.755627832</v>
      </c>
      <c r="I77" s="11">
        <f t="shared" si="5"/>
        <v>0</v>
      </c>
      <c r="J77" s="11">
        <f>11.233578312*E77*F77</f>
        <v>11.233578312</v>
      </c>
      <c r="K77" s="11">
        <f>4.0600633752*E77*F77</f>
        <v>4.0600633752</v>
      </c>
      <c r="L77" s="15">
        <f>M77/F77/E77</f>
        <v>27.260425519200005</v>
      </c>
      <c r="M77" s="13">
        <f t="shared" si="6"/>
        <v>27.260425519200005</v>
      </c>
    </row>
    <row r="78" spans="2:13" ht="13.5" thickBot="1" thickTop="1">
      <c r="B78" s="7">
        <v>74</v>
      </c>
      <c r="C78" s="5" t="s">
        <v>123</v>
      </c>
      <c r="D78" s="5" t="s">
        <v>124</v>
      </c>
      <c r="E78" s="9">
        <v>1</v>
      </c>
      <c r="F78" s="9">
        <v>1</v>
      </c>
      <c r="G78" s="11">
        <f>99.043758*E78*F78</f>
        <v>99.043758</v>
      </c>
      <c r="H78" s="11">
        <f>120.6101785824*E78*F78</f>
        <v>120.6101785824</v>
      </c>
      <c r="I78" s="11">
        <f t="shared" si="5"/>
        <v>0</v>
      </c>
      <c r="J78" s="11">
        <f>99.241845516*E78*F78</f>
        <v>99.241845516</v>
      </c>
      <c r="K78" s="11">
        <f>55.80676186722*E78*F78</f>
        <v>55.80676186722</v>
      </c>
      <c r="L78" s="15">
        <f>M78/F78/E78</f>
        <v>374.70254396562</v>
      </c>
      <c r="M78" s="13">
        <f t="shared" si="6"/>
        <v>374.70254396562</v>
      </c>
    </row>
    <row r="79" spans="2:13" ht="13.5" thickBot="1" thickTop="1">
      <c r="B79" s="7">
        <v>75</v>
      </c>
      <c r="C79" s="5" t="s">
        <v>125</v>
      </c>
      <c r="D79" s="5" t="s">
        <v>126</v>
      </c>
      <c r="E79" s="9">
        <v>1</v>
      </c>
      <c r="F79" s="9">
        <v>1</v>
      </c>
      <c r="G79" s="11">
        <f>28.02789*E79*F79</f>
        <v>28.02789</v>
      </c>
      <c r="H79" s="11">
        <f>115.5155571648*E79*F79</f>
        <v>115.5155571648</v>
      </c>
      <c r="I79" s="11">
        <f t="shared" si="5"/>
        <v>0</v>
      </c>
      <c r="J79" s="11">
        <f>28.08394578*E79*F79</f>
        <v>28.08394578</v>
      </c>
      <c r="K79" s="11">
        <f>30.03479376534*E79*F79</f>
        <v>30.03479376534</v>
      </c>
      <c r="L79" s="15">
        <f>M79/F79/E79</f>
        <v>201.66218671014</v>
      </c>
      <c r="M79" s="13">
        <f t="shared" si="6"/>
        <v>201.66218671014</v>
      </c>
    </row>
    <row r="80" spans="2:13" ht="13.5" thickBot="1" thickTop="1">
      <c r="B80" s="7">
        <v>76</v>
      </c>
      <c r="C80" s="5" t="s">
        <v>127</v>
      </c>
      <c r="D80" s="5" t="s">
        <v>128</v>
      </c>
      <c r="E80" s="9">
        <v>1</v>
      </c>
      <c r="F80" s="9">
        <v>1</v>
      </c>
      <c r="G80" s="11">
        <f>10695.442824*E80*F80</f>
        <v>10695.442824</v>
      </c>
      <c r="H80" s="11">
        <f>8273.07631872*E80*F80</f>
        <v>8273.07631872</v>
      </c>
      <c r="I80" s="11">
        <f t="shared" si="5"/>
        <v>0</v>
      </c>
      <c r="J80" s="11">
        <f>10716.833709648*E80*F80</f>
        <v>10716.833709648</v>
      </c>
      <c r="K80" s="11">
        <f>5194.9367491644*E80*F80</f>
        <v>5194.9367491644</v>
      </c>
      <c r="L80" s="15">
        <f t="shared" si="7"/>
        <v>348.802896015324</v>
      </c>
      <c r="M80" s="13">
        <f t="shared" si="6"/>
        <v>34880.2896015324</v>
      </c>
    </row>
    <row r="81" spans="2:13" ht="13.5" thickBot="1" thickTop="1">
      <c r="B81" s="7">
        <v>77</v>
      </c>
      <c r="C81" s="5" t="s">
        <v>129</v>
      </c>
      <c r="D81" s="5" t="s">
        <v>130</v>
      </c>
      <c r="E81" s="9">
        <v>1</v>
      </c>
      <c r="F81" s="9">
        <v>1</v>
      </c>
      <c r="G81" s="11">
        <f>19955.85768*E81*F81</f>
        <v>19955.85768</v>
      </c>
      <c r="H81" s="11">
        <f>65713.00863744*E81*F81</f>
        <v>65713.00863744</v>
      </c>
      <c r="I81" s="11">
        <f t="shared" si="5"/>
        <v>0</v>
      </c>
      <c r="J81" s="11">
        <f>19995.76939536*E81*F81</f>
        <v>19995.76939536</v>
      </c>
      <c r="K81" s="11">
        <f>18491.31124974*E81*F81</f>
        <v>18491.31124974</v>
      </c>
      <c r="L81" s="15">
        <f t="shared" si="7"/>
        <v>1241.5594696254</v>
      </c>
      <c r="M81" s="13">
        <f t="shared" si="6"/>
        <v>124155.94696254</v>
      </c>
    </row>
    <row r="82" spans="2:13" ht="13.5" thickBot="1" thickTop="1">
      <c r="B82" s="7">
        <v>78</v>
      </c>
      <c r="C82" s="5" t="s">
        <v>131</v>
      </c>
      <c r="D82" s="5" t="s">
        <v>130</v>
      </c>
      <c r="E82" s="9">
        <v>1</v>
      </c>
      <c r="F82" s="9">
        <v>1</v>
      </c>
      <c r="G82" s="11">
        <f>13677.61032*E82*F82</f>
        <v>13677.61032</v>
      </c>
      <c r="H82" s="11">
        <f>67958.43526656*E82*F82</f>
        <v>67958.43526656</v>
      </c>
      <c r="I82" s="11">
        <f t="shared" si="5"/>
        <v>0</v>
      </c>
      <c r="J82" s="11">
        <f>13704.96554064*E82*F82</f>
        <v>13704.96554064</v>
      </c>
      <c r="K82" s="11">
        <f>16684.67694726*E82*F82</f>
        <v>16684.67694726</v>
      </c>
      <c r="L82" s="15">
        <f t="shared" si="7"/>
        <v>1120.2568807446</v>
      </c>
      <c r="M82" s="13">
        <f t="shared" si="6"/>
        <v>112025.68807446</v>
      </c>
    </row>
    <row r="83" spans="2:13" ht="13.5" thickBot="1" thickTop="1">
      <c r="B83" s="7">
        <v>79</v>
      </c>
      <c r="C83" s="5" t="s">
        <v>132</v>
      </c>
      <c r="D83" s="5" t="s">
        <v>56</v>
      </c>
      <c r="E83" s="9">
        <v>1</v>
      </c>
      <c r="F83" s="9">
        <v>1</v>
      </c>
      <c r="G83" s="11">
        <f>54507.3408*E83*F83</f>
        <v>54507.3408</v>
      </c>
      <c r="H83" s="11">
        <f>153461.54356992*E83*F83</f>
        <v>153461.54356992</v>
      </c>
      <c r="I83" s="11">
        <f>14.480544*E83*F83</f>
        <v>14.480544</v>
      </c>
      <c r="J83" s="11">
        <f>54616.3554816*E83*F83</f>
        <v>54616.3554816</v>
      </c>
      <c r="K83" s="11">
        <f>45954.951069216*E83*F83</f>
        <v>45954.951069216</v>
      </c>
      <c r="L83" s="15">
        <f t="shared" si="7"/>
        <v>3085.5467146473597</v>
      </c>
      <c r="M83" s="13">
        <f t="shared" si="6"/>
        <v>308554.671464736</v>
      </c>
    </row>
    <row r="84" spans="2:13" ht="13.5" thickBot="1" thickTop="1">
      <c r="B84" s="7">
        <v>80</v>
      </c>
      <c r="C84" s="5" t="s">
        <v>133</v>
      </c>
      <c r="D84" s="5" t="s">
        <v>56</v>
      </c>
      <c r="E84" s="9">
        <v>1</v>
      </c>
      <c r="F84" s="9">
        <v>1</v>
      </c>
      <c r="G84" s="11">
        <f>9479.4051*E84*F84</f>
        <v>9479.4051</v>
      </c>
      <c r="H84" s="11">
        <f>5404.5174326112*E84*F84</f>
        <v>5404.5174326112</v>
      </c>
      <c r="I84" s="11">
        <f>0*E84*F84</f>
        <v>0</v>
      </c>
      <c r="J84" s="11">
        <f>9498.3639102*E84*F84</f>
        <v>9498.3639102</v>
      </c>
      <c r="K84" s="11">
        <f>4266.900127492*E84*F84</f>
        <v>4266.900127492</v>
      </c>
      <c r="L84" s="15">
        <f t="shared" si="7"/>
        <v>286.49186570303203</v>
      </c>
      <c r="M84" s="13">
        <f t="shared" si="6"/>
        <v>28649.1865703032</v>
      </c>
    </row>
    <row r="85" spans="2:13" ht="13.5" thickBot="1" thickTop="1">
      <c r="B85" s="7">
        <v>81</v>
      </c>
      <c r="C85" s="5" t="s">
        <v>134</v>
      </c>
      <c r="D85" s="5" t="s">
        <v>56</v>
      </c>
      <c r="E85" s="9">
        <v>1</v>
      </c>
      <c r="F85" s="9">
        <v>1</v>
      </c>
      <c r="G85" s="11">
        <f>13355.727*E85*F85</f>
        <v>13355.727</v>
      </c>
      <c r="H85" s="11">
        <f>3414.503660976*E85*F85</f>
        <v>3414.503660976</v>
      </c>
      <c r="I85" s="11">
        <f>0*E85*F85</f>
        <v>0</v>
      </c>
      <c r="J85" s="11">
        <f>13382.438454*E85*F85</f>
        <v>13382.438454</v>
      </c>
      <c r="K85" s="11">
        <f>5276.7170951208*E85*F85</f>
        <v>5276.7170951208</v>
      </c>
      <c r="L85" s="15">
        <f t="shared" si="7"/>
        <v>354.29386210096806</v>
      </c>
      <c r="M85" s="13">
        <f t="shared" si="6"/>
        <v>35429.3862100968</v>
      </c>
    </row>
    <row r="86" spans="2:13" ht="13.5" thickBot="1" thickTop="1">
      <c r="B86" s="7">
        <v>82</v>
      </c>
      <c r="C86" s="5" t="s">
        <v>135</v>
      </c>
      <c r="D86" s="5" t="s">
        <v>136</v>
      </c>
      <c r="E86" s="9">
        <v>1</v>
      </c>
      <c r="F86" s="9">
        <v>1</v>
      </c>
      <c r="G86" s="11">
        <f>241.201224*E86*F86</f>
        <v>241.201224</v>
      </c>
      <c r="H86" s="11">
        <f>2071.9108246032*E86*F86</f>
        <v>2071.9108246032</v>
      </c>
      <c r="I86" s="11">
        <f>9.405474*E86*F86</f>
        <v>9.405474</v>
      </c>
      <c r="J86" s="11">
        <f>241.683626448*E86*F86</f>
        <v>241.683626448</v>
      </c>
      <c r="K86" s="11">
        <f>448.73520108396*E86*F86</f>
        <v>448.73520108396</v>
      </c>
      <c r="L86" s="15">
        <f>M86/F86/E86</f>
        <v>3012.93635013516</v>
      </c>
      <c r="M86" s="13">
        <f t="shared" si="6"/>
        <v>3012.93635013516</v>
      </c>
    </row>
    <row r="87" spans="2:13" ht="25.5" thickBot="1" thickTop="1">
      <c r="B87" s="7">
        <v>83</v>
      </c>
      <c r="C87" s="5" t="s">
        <v>137</v>
      </c>
      <c r="D87" s="5" t="s">
        <v>138</v>
      </c>
      <c r="E87" s="9">
        <v>1</v>
      </c>
      <c r="F87" s="9">
        <v>1</v>
      </c>
      <c r="G87" s="11">
        <f>438.8180544*E87*F87</f>
        <v>438.8180544</v>
      </c>
      <c r="H87" s="11">
        <f>1672.842485399*E87*F87</f>
        <v>1672.842485399</v>
      </c>
      <c r="I87" s="11">
        <f aca="true" t="shared" si="8" ref="I87:I99">0*E87*F87</f>
        <v>0</v>
      </c>
      <c r="J87" s="11">
        <f>439.6956905088*E87*F87</f>
        <v>439.6956905088</v>
      </c>
      <c r="K87" s="11">
        <f>446.48734030387*E87*F87</f>
        <v>446.48734030387</v>
      </c>
      <c r="L87" s="15">
        <f>M87/F87/E87</f>
        <v>2997.84357061167</v>
      </c>
      <c r="M87" s="13">
        <f t="shared" si="6"/>
        <v>2997.84357061167</v>
      </c>
    </row>
    <row r="88" spans="2:13" ht="25.5" thickBot="1" thickTop="1">
      <c r="B88" s="7">
        <v>84</v>
      </c>
      <c r="C88" s="5" t="s">
        <v>139</v>
      </c>
      <c r="D88" s="5" t="s">
        <v>140</v>
      </c>
      <c r="E88" s="9">
        <v>1</v>
      </c>
      <c r="F88" s="9">
        <v>1</v>
      </c>
      <c r="G88" s="11">
        <f>1700.35866*E88*F88</f>
        <v>1700.35866</v>
      </c>
      <c r="H88" s="11">
        <f>275.9377678272*E88*F88</f>
        <v>275.9377678272</v>
      </c>
      <c r="I88" s="11">
        <f t="shared" si="8"/>
        <v>0</v>
      </c>
      <c r="J88" s="11">
        <f>1703.75937732*E88*F88</f>
        <v>1703.75937732</v>
      </c>
      <c r="K88" s="11">
        <f>644.00976590076*E88*F88</f>
        <v>644.00976590076</v>
      </c>
      <c r="L88" s="15">
        <f>M88/F88/E88/10</f>
        <v>432.40655710479604</v>
      </c>
      <c r="M88" s="13">
        <f t="shared" si="6"/>
        <v>4324.0655710479605</v>
      </c>
    </row>
    <row r="89" spans="2:13" ht="13.5" thickBot="1" thickTop="1">
      <c r="B89" s="7">
        <v>85</v>
      </c>
      <c r="C89" s="5" t="s">
        <v>141</v>
      </c>
      <c r="D89" s="5" t="s">
        <v>140</v>
      </c>
      <c r="E89" s="9">
        <v>1</v>
      </c>
      <c r="F89" s="9">
        <v>1</v>
      </c>
      <c r="G89" s="11">
        <f>1887.21126*E89*F89</f>
        <v>1887.21126</v>
      </c>
      <c r="H89" s="11">
        <f>275.9377678272*E89*F89</f>
        <v>275.9377678272</v>
      </c>
      <c r="I89" s="11">
        <f t="shared" si="8"/>
        <v>0</v>
      </c>
      <c r="J89" s="11">
        <f>1890.98568252*E89*F89</f>
        <v>1890.98568252</v>
      </c>
      <c r="K89" s="11">
        <f>709.47357431076*E89*F89</f>
        <v>709.47357431076</v>
      </c>
      <c r="L89" s="15">
        <f>M89/F89/E89/10</f>
        <v>476.36082846579603</v>
      </c>
      <c r="M89" s="13">
        <f t="shared" si="6"/>
        <v>4763.60828465796</v>
      </c>
    </row>
    <row r="90" spans="2:13" ht="13.5" thickBot="1" thickTop="1">
      <c r="B90" s="7">
        <v>86</v>
      </c>
      <c r="C90" s="5" t="s">
        <v>142</v>
      </c>
      <c r="D90" s="5" t="s">
        <v>143</v>
      </c>
      <c r="E90" s="9">
        <v>1</v>
      </c>
      <c r="F90" s="9">
        <v>1</v>
      </c>
      <c r="G90" s="11">
        <f>1868.526*E90*F90</f>
        <v>1868.526</v>
      </c>
      <c r="H90" s="11">
        <f>246.7584*E90*F90</f>
        <v>246.7584</v>
      </c>
      <c r="I90" s="11">
        <f t="shared" si="8"/>
        <v>0</v>
      </c>
      <c r="J90" s="11">
        <f>1872.263052*E90*F90</f>
        <v>1872.263052</v>
      </c>
      <c r="K90" s="11">
        <f>697.8208041*E90*F90</f>
        <v>697.8208041</v>
      </c>
      <c r="L90" s="15">
        <f>M90/F90/E90/10</f>
        <v>468.53682560999994</v>
      </c>
      <c r="M90" s="13">
        <f t="shared" si="6"/>
        <v>4685.3682561</v>
      </c>
    </row>
    <row r="91" spans="2:13" ht="25.5" thickBot="1" thickTop="1">
      <c r="B91" s="7">
        <v>87</v>
      </c>
      <c r="C91" s="5" t="s">
        <v>144</v>
      </c>
      <c r="D91" s="5" t="s">
        <v>145</v>
      </c>
      <c r="E91" s="9">
        <v>1</v>
      </c>
      <c r="F91" s="9">
        <v>1</v>
      </c>
      <c r="G91" s="11">
        <f>93.4263*E91*F91</f>
        <v>93.4263</v>
      </c>
      <c r="H91" s="11">
        <f>66.60892944*E91*F91</f>
        <v>66.60892944</v>
      </c>
      <c r="I91" s="11">
        <f t="shared" si="8"/>
        <v>0</v>
      </c>
      <c r="J91" s="11">
        <f>93.6131526*E91*F91</f>
        <v>93.6131526</v>
      </c>
      <c r="K91" s="11">
        <f>44.388466857*E91*F91</f>
        <v>44.388466857</v>
      </c>
      <c r="L91" s="15">
        <f>M91/F91/E91</f>
        <v>298.036848897</v>
      </c>
      <c r="M91" s="13">
        <f t="shared" si="6"/>
        <v>298.036848897</v>
      </c>
    </row>
    <row r="92" spans="2:13" ht="25.5" thickBot="1" thickTop="1">
      <c r="B92" s="7">
        <v>88</v>
      </c>
      <c r="C92" s="5" t="s">
        <v>146</v>
      </c>
      <c r="D92" s="5" t="s">
        <v>118</v>
      </c>
      <c r="E92" s="9">
        <v>1</v>
      </c>
      <c r="F92" s="9">
        <v>1</v>
      </c>
      <c r="G92" s="11">
        <f>927.21816*E92*F92</f>
        <v>927.21816</v>
      </c>
      <c r="H92" s="11">
        <f>267.0240269952*E92*F92</f>
        <v>267.0240269952</v>
      </c>
      <c r="I92" s="11">
        <f t="shared" si="8"/>
        <v>0</v>
      </c>
      <c r="J92" s="11">
        <f>929.07259632*E92*F92</f>
        <v>929.07259632</v>
      </c>
      <c r="K92" s="11">
        <f>371.58008708016*E92*F92</f>
        <v>371.58008708016</v>
      </c>
      <c r="L92" s="15">
        <f>M92/F92/E92/10</f>
        <v>249.48948703953596</v>
      </c>
      <c r="M92" s="13">
        <f t="shared" si="6"/>
        <v>2494.8948703953597</v>
      </c>
    </row>
    <row r="93" spans="2:13" ht="25.5" thickBot="1" thickTop="1">
      <c r="B93" s="7">
        <v>89</v>
      </c>
      <c r="C93" s="5" t="s">
        <v>147</v>
      </c>
      <c r="D93" s="5" t="s">
        <v>118</v>
      </c>
      <c r="E93" s="9">
        <v>1</v>
      </c>
      <c r="F93" s="9">
        <v>1</v>
      </c>
      <c r="G93" s="11">
        <f>821.85246*E93*F93</f>
        <v>821.85246</v>
      </c>
      <c r="H93" s="11">
        <f>267.0240269952*E93*F93</f>
        <v>267.0240269952</v>
      </c>
      <c r="I93" s="11">
        <f t="shared" si="8"/>
        <v>0</v>
      </c>
      <c r="J93" s="11">
        <f>823.49616492*E93*F93</f>
        <v>823.49616492</v>
      </c>
      <c r="K93" s="11">
        <f>334.66521408516*E93*F93</f>
        <v>334.66521408516</v>
      </c>
      <c r="L93" s="15">
        <f>M93/F93/E93/10</f>
        <v>224.70378660003598</v>
      </c>
      <c r="M93" s="13">
        <f t="shared" si="6"/>
        <v>2247.03786600036</v>
      </c>
    </row>
    <row r="94" spans="2:13" ht="13.5" thickBot="1" thickTop="1">
      <c r="B94" s="7">
        <v>90</v>
      </c>
      <c r="C94" s="5" t="s">
        <v>148</v>
      </c>
      <c r="D94" s="5" t="s">
        <v>121</v>
      </c>
      <c r="E94" s="9">
        <v>1</v>
      </c>
      <c r="F94" s="9">
        <v>1</v>
      </c>
      <c r="G94" s="11">
        <f>11.211156*E94*F94</f>
        <v>11.211156</v>
      </c>
      <c r="H94" s="11">
        <f>0.755627832*E94*F94</f>
        <v>0.755627832</v>
      </c>
      <c r="I94" s="11">
        <f t="shared" si="8"/>
        <v>0</v>
      </c>
      <c r="J94" s="11">
        <f>11.233578312*E94*F94</f>
        <v>11.233578312</v>
      </c>
      <c r="K94" s="11">
        <f>4.0600633752*E94*F94</f>
        <v>4.0600633752</v>
      </c>
      <c r="L94" s="15">
        <f>M94/F94/E94</f>
        <v>27.260425519200005</v>
      </c>
      <c r="M94" s="13">
        <f t="shared" si="6"/>
        <v>27.260425519200005</v>
      </c>
    </row>
    <row r="95" spans="2:13" ht="13.5" thickBot="1" thickTop="1">
      <c r="B95" s="7">
        <v>91</v>
      </c>
      <c r="C95" s="5" t="s">
        <v>149</v>
      </c>
      <c r="D95" s="5" t="s">
        <v>150</v>
      </c>
      <c r="E95" s="9">
        <v>1</v>
      </c>
      <c r="F95" s="9">
        <v>1</v>
      </c>
      <c r="G95" s="11">
        <f>615.09888*E95*F95</f>
        <v>615.09888</v>
      </c>
      <c r="H95" s="11">
        <f>3102.9935539824*E95*F95</f>
        <v>3102.9935539824</v>
      </c>
      <c r="I95" s="11">
        <f t="shared" si="8"/>
        <v>0</v>
      </c>
      <c r="J95" s="11">
        <f>616.32907776*E95*F95</f>
        <v>616.32907776</v>
      </c>
      <c r="K95" s="11">
        <f>758.52376455492*E95*F95</f>
        <v>758.52376455492</v>
      </c>
      <c r="L95" s="15">
        <f>M95/F95/E95/10</f>
        <v>509.294527629732</v>
      </c>
      <c r="M95" s="13">
        <f t="shared" si="6"/>
        <v>5092.94527629732</v>
      </c>
    </row>
    <row r="96" spans="2:13" ht="13.5" thickBot="1" thickTop="1">
      <c r="B96" s="7">
        <v>92</v>
      </c>
      <c r="C96" s="5" t="s">
        <v>151</v>
      </c>
      <c r="D96" s="5" t="s">
        <v>152</v>
      </c>
      <c r="E96" s="9">
        <v>1</v>
      </c>
      <c r="F96" s="9">
        <v>1</v>
      </c>
      <c r="G96" s="11">
        <f>2802.789*E96*F96</f>
        <v>2802.789</v>
      </c>
      <c r="H96" s="11">
        <f>10714.234726656*E96*F96</f>
        <v>10714.234726656</v>
      </c>
      <c r="I96" s="11">
        <f t="shared" si="8"/>
        <v>0</v>
      </c>
      <c r="J96" s="11">
        <f>2808.394578*E96*F96</f>
        <v>2808.394578</v>
      </c>
      <c r="K96" s="11">
        <f>2856.9482033148*E96*F96</f>
        <v>2856.9482033148</v>
      </c>
      <c r="L96" s="15">
        <f t="shared" si="7"/>
        <v>191.823665079708</v>
      </c>
      <c r="M96" s="13">
        <f t="shared" si="6"/>
        <v>19182.3665079708</v>
      </c>
    </row>
    <row r="97" spans="2:13" ht="13.5" thickBot="1" thickTop="1">
      <c r="B97" s="7">
        <v>93</v>
      </c>
      <c r="C97" s="5" t="s">
        <v>153</v>
      </c>
      <c r="D97" s="5" t="s">
        <v>154</v>
      </c>
      <c r="E97" s="9">
        <v>1</v>
      </c>
      <c r="F97" s="9">
        <v>1</v>
      </c>
      <c r="G97" s="11">
        <f>7242.406776*E97*F97</f>
        <v>7242.406776</v>
      </c>
      <c r="H97" s="11">
        <f>4789.01926656*E97*F97</f>
        <v>4789.01926656</v>
      </c>
      <c r="I97" s="11">
        <f t="shared" si="8"/>
        <v>0</v>
      </c>
      <c r="J97" s="11">
        <f>7256.891589552*E97*F97</f>
        <v>7256.891589552</v>
      </c>
      <c r="K97" s="11">
        <f>3375.4555856196*E97*F97</f>
        <v>3375.4555856196</v>
      </c>
      <c r="L97" s="15">
        <f t="shared" si="7"/>
        <v>226.637732177316</v>
      </c>
      <c r="M97" s="13">
        <f t="shared" si="6"/>
        <v>22663.7732177316</v>
      </c>
    </row>
    <row r="98" spans="2:13" ht="13.5" thickBot="1" thickTop="1">
      <c r="B98" s="7">
        <v>94</v>
      </c>
      <c r="C98" s="5" t="s">
        <v>155</v>
      </c>
      <c r="D98" s="5" t="s">
        <v>56</v>
      </c>
      <c r="E98" s="9">
        <v>1</v>
      </c>
      <c r="F98" s="9">
        <v>1</v>
      </c>
      <c r="G98" s="11">
        <f>14487.3927*E98*F98</f>
        <v>14487.3927</v>
      </c>
      <c r="H98" s="11">
        <f>2886.964481088*E98*F98</f>
        <v>2886.964481088</v>
      </c>
      <c r="I98" s="11">
        <f t="shared" si="8"/>
        <v>0</v>
      </c>
      <c r="J98" s="11">
        <f>14516.3674854*E98*F98</f>
        <v>14516.3674854</v>
      </c>
      <c r="K98" s="11">
        <f>5580.8768166354*E98*F98</f>
        <v>5580.8768166354</v>
      </c>
      <c r="L98" s="15">
        <f t="shared" si="7"/>
        <v>374.71601483123396</v>
      </c>
      <c r="M98" s="13">
        <f t="shared" si="6"/>
        <v>37471.6014831234</v>
      </c>
    </row>
    <row r="99" spans="2:13" ht="13.5" thickBot="1" thickTop="1">
      <c r="B99" s="7">
        <v>95</v>
      </c>
      <c r="C99" s="5" t="s">
        <v>156</v>
      </c>
      <c r="D99" s="5" t="s">
        <v>56</v>
      </c>
      <c r="E99" s="9">
        <v>1</v>
      </c>
      <c r="F99" s="9">
        <v>1</v>
      </c>
      <c r="G99" s="11">
        <f>18888.8139*E99*F99</f>
        <v>18888.8139</v>
      </c>
      <c r="H99" s="11">
        <f>4423.110535152*E99*F99</f>
        <v>4423.110535152</v>
      </c>
      <c r="I99" s="11">
        <f t="shared" si="8"/>
        <v>0</v>
      </c>
      <c r="J99" s="11">
        <f>18926.5915278*E99*F99</f>
        <v>18926.5915278</v>
      </c>
      <c r="K99" s="11">
        <f>7391.7402935166*E99*F99</f>
        <v>7391.7402935166</v>
      </c>
      <c r="L99" s="15">
        <f t="shared" si="7"/>
        <v>496.30256256468607</v>
      </c>
      <c r="M99" s="13">
        <f t="shared" si="6"/>
        <v>49630.25625646861</v>
      </c>
    </row>
    <row r="100" spans="2:13" ht="13.5" thickBot="1" thickTop="1">
      <c r="B100" s="7">
        <v>96</v>
      </c>
      <c r="C100" s="5" t="s">
        <v>157</v>
      </c>
      <c r="D100" s="5" t="s">
        <v>158</v>
      </c>
      <c r="E100" s="9">
        <v>1</v>
      </c>
      <c r="F100" s="9">
        <v>1</v>
      </c>
      <c r="G100" s="11">
        <f>3901.12272*E100*F100</f>
        <v>3901.12272</v>
      </c>
      <c r="H100" s="11">
        <f>32446.52715888*E100*F100</f>
        <v>32446.52715888</v>
      </c>
      <c r="I100" s="11">
        <f>100.830912*E100*F100</f>
        <v>100.830912</v>
      </c>
      <c r="J100" s="11">
        <f>3973.78723104*E100*F100</f>
        <v>3973.78723104</v>
      </c>
      <c r="K100" s="11">
        <f>7073.896903836*E100*F100</f>
        <v>7073.896903836</v>
      </c>
      <c r="L100" s="15">
        <f t="shared" si="7"/>
        <v>474.96164925756</v>
      </c>
      <c r="M100" s="13">
        <f t="shared" si="6"/>
        <v>47496.164925756</v>
      </c>
    </row>
    <row r="101" spans="2:13" ht="13.5" thickBot="1" thickTop="1">
      <c r="B101" s="7">
        <v>97</v>
      </c>
      <c r="C101" s="5" t="s">
        <v>159</v>
      </c>
      <c r="D101" s="5" t="s">
        <v>158</v>
      </c>
      <c r="E101" s="9">
        <v>1</v>
      </c>
      <c r="F101" s="9">
        <v>1</v>
      </c>
      <c r="G101" s="11">
        <f>2220.020352*E101*F101</f>
        <v>2220.020352</v>
      </c>
      <c r="H101" s="11">
        <f>16779.52451664*E101*F101</f>
        <v>16779.52451664</v>
      </c>
      <c r="I101" s="11">
        <f>52.423098*E101*F101</f>
        <v>52.423098</v>
      </c>
      <c r="J101" s="11">
        <f>2258.188770816*E101*F101</f>
        <v>2258.188770816</v>
      </c>
      <c r="K101" s="11">
        <f>3729.2774290548*E101*F101</f>
        <v>3729.2774290548</v>
      </c>
      <c r="L101" s="15">
        <f t="shared" si="7"/>
        <v>250.39434166510796</v>
      </c>
      <c r="M101" s="13">
        <f aca="true" t="shared" si="9" ref="M101:M131">SUM(G101:K101)</f>
        <v>25039.434166510797</v>
      </c>
    </row>
    <row r="102" spans="2:13" ht="25.5" thickBot="1" thickTop="1">
      <c r="B102" s="7">
        <v>98</v>
      </c>
      <c r="C102" s="5" t="s">
        <v>160</v>
      </c>
      <c r="D102" s="5" t="s">
        <v>161</v>
      </c>
      <c r="E102" s="9">
        <v>1</v>
      </c>
      <c r="F102" s="9">
        <v>1</v>
      </c>
      <c r="G102" s="11">
        <f>1032.58386*E102*F102</f>
        <v>1032.58386</v>
      </c>
      <c r="H102" s="11">
        <f>112.3784949816*E102*F102</f>
        <v>112.3784949816</v>
      </c>
      <c r="I102" s="11">
        <f aca="true" t="shared" si="10" ref="I102:I115">0*E102*F102</f>
        <v>0</v>
      </c>
      <c r="J102" s="11">
        <f>1034.64902772*E102*F102</f>
        <v>1034.64902772</v>
      </c>
      <c r="K102" s="11">
        <f>381.43199197278*E102*F102</f>
        <v>381.43199197278</v>
      </c>
      <c r="L102" s="15">
        <f>M102/F102/E102</f>
        <v>2561.0433746743797</v>
      </c>
      <c r="M102" s="13">
        <f t="shared" si="9"/>
        <v>2561.0433746743797</v>
      </c>
    </row>
    <row r="103" spans="2:13" ht="25.5" thickBot="1" thickTop="1">
      <c r="B103" s="7">
        <v>99</v>
      </c>
      <c r="C103" s="5" t="s">
        <v>162</v>
      </c>
      <c r="D103" s="5" t="s">
        <v>163</v>
      </c>
      <c r="E103" s="9">
        <v>1</v>
      </c>
      <c r="F103" s="9">
        <v>1</v>
      </c>
      <c r="G103" s="11">
        <f>1043.12043*E103*F103</f>
        <v>1043.12043</v>
      </c>
      <c r="H103" s="11">
        <f>1627.8767171568*E103*F103</f>
        <v>1627.8767171568</v>
      </c>
      <c r="I103" s="11">
        <f t="shared" si="10"/>
        <v>0</v>
      </c>
      <c r="J103" s="11">
        <f>1045.20667086*E103*F103</f>
        <v>1045.20667086</v>
      </c>
      <c r="K103" s="11">
        <f>650.33566815294*E103*F103</f>
        <v>650.33566815294</v>
      </c>
      <c r="L103" s="15">
        <f aca="true" t="shared" si="11" ref="L103:L109">M103/F103/E103</f>
        <v>4366.53948616974</v>
      </c>
      <c r="M103" s="13">
        <f t="shared" si="9"/>
        <v>4366.53948616974</v>
      </c>
    </row>
    <row r="104" spans="2:13" ht="13.5" thickBot="1" thickTop="1">
      <c r="B104" s="7">
        <v>100</v>
      </c>
      <c r="C104" s="5" t="s">
        <v>164</v>
      </c>
      <c r="D104" s="5" t="s">
        <v>138</v>
      </c>
      <c r="E104" s="9">
        <v>1</v>
      </c>
      <c r="F104" s="9">
        <v>1</v>
      </c>
      <c r="G104" s="11">
        <f>438.8180544*E104*F104</f>
        <v>438.8180544</v>
      </c>
      <c r="H104" s="11">
        <f>1568.239445399*E104*F104</f>
        <v>1568.239445399</v>
      </c>
      <c r="I104" s="11">
        <f t="shared" si="10"/>
        <v>0</v>
      </c>
      <c r="J104" s="11">
        <f>439.6956905088*E104*F104</f>
        <v>439.6956905088</v>
      </c>
      <c r="K104" s="11">
        <f>428.18180830387*E104*F104</f>
        <v>428.18180830387</v>
      </c>
      <c r="L104" s="15">
        <f t="shared" si="11"/>
        <v>2874.93499861167</v>
      </c>
      <c r="M104" s="13">
        <f t="shared" si="9"/>
        <v>2874.93499861167</v>
      </c>
    </row>
    <row r="105" spans="2:13" ht="13.5" thickBot="1" thickTop="1">
      <c r="B105" s="7">
        <v>101</v>
      </c>
      <c r="C105" s="5" t="s">
        <v>165</v>
      </c>
      <c r="D105" s="5" t="s">
        <v>138</v>
      </c>
      <c r="E105" s="9">
        <v>1</v>
      </c>
      <c r="F105" s="9">
        <v>1</v>
      </c>
      <c r="G105" s="11">
        <f>492.257898*E105*F105</f>
        <v>492.257898</v>
      </c>
      <c r="H105" s="11">
        <f>1568.239445399*E105*F105</f>
        <v>1568.239445399</v>
      </c>
      <c r="I105" s="11">
        <f t="shared" si="10"/>
        <v>0</v>
      </c>
      <c r="J105" s="11">
        <f>493.242413796*E105*F105</f>
        <v>493.242413796</v>
      </c>
      <c r="K105" s="11">
        <f>446.90445750913*E105*F105</f>
        <v>446.90445750913</v>
      </c>
      <c r="L105" s="15">
        <f t="shared" si="11"/>
        <v>3000.64421470413</v>
      </c>
      <c r="M105" s="13">
        <f t="shared" si="9"/>
        <v>3000.64421470413</v>
      </c>
    </row>
    <row r="106" spans="2:13" ht="13.5" thickBot="1" thickTop="1">
      <c r="B106" s="7">
        <v>102</v>
      </c>
      <c r="C106" s="5" t="s">
        <v>166</v>
      </c>
      <c r="D106" s="5" t="s">
        <v>138</v>
      </c>
      <c r="E106" s="9">
        <v>1</v>
      </c>
      <c r="F106" s="9">
        <v>1</v>
      </c>
      <c r="G106" s="11">
        <f>415.648332*E106*F106</f>
        <v>415.648332</v>
      </c>
      <c r="H106" s="11">
        <f>1568.239445399*E106*F106</f>
        <v>1568.239445399</v>
      </c>
      <c r="I106" s="11">
        <f t="shared" si="10"/>
        <v>0</v>
      </c>
      <c r="J106" s="11">
        <f>416.479628664*E106*F106</f>
        <v>416.479628664</v>
      </c>
      <c r="K106" s="11">
        <f>420.06429606103*E106*F106</f>
        <v>420.06429606103</v>
      </c>
      <c r="L106" s="15">
        <f t="shared" si="11"/>
        <v>2820.43170212403</v>
      </c>
      <c r="M106" s="13">
        <f t="shared" si="9"/>
        <v>2820.43170212403</v>
      </c>
    </row>
    <row r="107" spans="2:13" ht="13.5" thickBot="1" thickTop="1">
      <c r="B107" s="7">
        <v>103</v>
      </c>
      <c r="C107" s="5" t="s">
        <v>167</v>
      </c>
      <c r="D107" s="5" t="s">
        <v>138</v>
      </c>
      <c r="E107" s="9">
        <v>1</v>
      </c>
      <c r="F107" s="9">
        <v>1</v>
      </c>
      <c r="G107" s="11">
        <f>453.7662624*E107*F107</f>
        <v>453.7662624</v>
      </c>
      <c r="H107" s="11">
        <f>1568.239445399*E107*F107</f>
        <v>1568.239445399</v>
      </c>
      <c r="I107" s="11">
        <f t="shared" si="10"/>
        <v>0</v>
      </c>
      <c r="J107" s="11">
        <f>454.6737949248*E107*F107</f>
        <v>454.6737949248</v>
      </c>
      <c r="K107" s="11">
        <f>433.41891297667*E107*F107</f>
        <v>433.41891297667</v>
      </c>
      <c r="L107" s="15">
        <f t="shared" si="11"/>
        <v>2910.09841570047</v>
      </c>
      <c r="M107" s="13">
        <f t="shared" si="9"/>
        <v>2910.09841570047</v>
      </c>
    </row>
    <row r="108" spans="2:13" ht="25.5" thickBot="1" thickTop="1">
      <c r="B108" s="7">
        <v>104</v>
      </c>
      <c r="C108" s="5" t="s">
        <v>168</v>
      </c>
      <c r="D108" s="5" t="s">
        <v>169</v>
      </c>
      <c r="E108" s="9">
        <v>1</v>
      </c>
      <c r="F108" s="9">
        <v>1</v>
      </c>
      <c r="G108" s="11">
        <f>112.11156*E108*F108</f>
        <v>112.11156</v>
      </c>
      <c r="H108" s="11">
        <f>832.27104*E108*F108</f>
        <v>832.27104</v>
      </c>
      <c r="I108" s="11">
        <f t="shared" si="10"/>
        <v>0</v>
      </c>
      <c r="J108" s="11">
        <f>112.33578312*E108*F108</f>
        <v>112.33578312</v>
      </c>
      <c r="K108" s="11">
        <f>184.925717046*E108*F108</f>
        <v>184.925717046</v>
      </c>
      <c r="L108" s="15">
        <f t="shared" si="11"/>
        <v>1241.644100166</v>
      </c>
      <c r="M108" s="13">
        <f t="shared" si="9"/>
        <v>1241.644100166</v>
      </c>
    </row>
    <row r="109" spans="2:13" ht="25.5" thickBot="1" thickTop="1">
      <c r="B109" s="7">
        <v>105</v>
      </c>
      <c r="C109" s="5" t="s">
        <v>170</v>
      </c>
      <c r="D109" s="5" t="s">
        <v>169</v>
      </c>
      <c r="E109" s="9">
        <v>1</v>
      </c>
      <c r="F109" s="9">
        <v>1</v>
      </c>
      <c r="G109" s="11">
        <f>123.322716*E109*F109</f>
        <v>123.322716</v>
      </c>
      <c r="H109" s="11">
        <f>832.27104*E109*F109</f>
        <v>832.27104</v>
      </c>
      <c r="I109" s="11">
        <f t="shared" si="10"/>
        <v>0</v>
      </c>
      <c r="J109" s="11">
        <f>123.569361432*E109*F109</f>
        <v>123.569361432</v>
      </c>
      <c r="K109" s="11">
        <f>188.8535455506*E109*F109</f>
        <v>188.8535455506</v>
      </c>
      <c r="L109" s="15">
        <f t="shared" si="11"/>
        <v>1268.0166629826</v>
      </c>
      <c r="M109" s="13">
        <f t="shared" si="9"/>
        <v>1268.0166629826</v>
      </c>
    </row>
    <row r="110" spans="2:13" ht="25.5" thickBot="1" thickTop="1">
      <c r="B110" s="7">
        <v>106</v>
      </c>
      <c r="C110" s="5" t="s">
        <v>171</v>
      </c>
      <c r="D110" s="5" t="s">
        <v>169</v>
      </c>
      <c r="E110" s="9">
        <v>1</v>
      </c>
      <c r="F110" s="9">
        <v>1</v>
      </c>
      <c r="G110" s="11">
        <f>136.402398*E110*F110</f>
        <v>136.402398</v>
      </c>
      <c r="H110" s="11">
        <f>705.36672*E110*F110</f>
        <v>705.36672</v>
      </c>
      <c r="I110" s="11">
        <f t="shared" si="10"/>
        <v>0</v>
      </c>
      <c r="J110" s="11">
        <f>136.675202796*E110*F110</f>
        <v>136.675202796</v>
      </c>
      <c r="K110" s="11">
        <f>171.2277561393*E110*F110</f>
        <v>171.2277561393</v>
      </c>
      <c r="L110" s="15">
        <f t="shared" si="7"/>
        <v>11.496720769352999</v>
      </c>
      <c r="M110" s="13">
        <f t="shared" si="9"/>
        <v>1149.6720769352999</v>
      </c>
    </row>
    <row r="111" spans="2:13" ht="37.5" thickBot="1" thickTop="1">
      <c r="B111" s="7">
        <v>107</v>
      </c>
      <c r="C111" s="5" t="s">
        <v>172</v>
      </c>
      <c r="D111" s="5" t="s">
        <v>173</v>
      </c>
      <c r="E111" s="9">
        <v>1</v>
      </c>
      <c r="F111" s="9">
        <v>1</v>
      </c>
      <c r="G111" s="11">
        <f>96661.5936*E111*F111</f>
        <v>96661.5936</v>
      </c>
      <c r="H111" s="11">
        <f>747014.42598192*E111*F111</f>
        <v>747014.42598192</v>
      </c>
      <c r="I111" s="11">
        <f t="shared" si="10"/>
        <v>0</v>
      </c>
      <c r="J111" s="11">
        <f>96854.9167872*E111*F111</f>
        <v>96854.9167872</v>
      </c>
      <c r="K111" s="11">
        <f>164592.9138646*E111*F111</f>
        <v>164592.9138646</v>
      </c>
      <c r="L111" s="15">
        <f t="shared" si="7"/>
        <v>11051.2385023372</v>
      </c>
      <c r="M111" s="13">
        <f t="shared" si="9"/>
        <v>1105123.8502337201</v>
      </c>
    </row>
    <row r="112" spans="2:13" ht="13.5" thickBot="1" thickTop="1">
      <c r="B112" s="7">
        <v>108</v>
      </c>
      <c r="C112" s="5" t="s">
        <v>174</v>
      </c>
      <c r="D112" s="5" t="s">
        <v>175</v>
      </c>
      <c r="E112" s="9">
        <v>1</v>
      </c>
      <c r="F112" s="9">
        <v>1</v>
      </c>
      <c r="G112" s="11">
        <f>13300.168068*E112*F112</f>
        <v>13300.168068</v>
      </c>
      <c r="H112" s="11">
        <f>83702.111689872*E112*F112</f>
        <v>83702.111689872</v>
      </c>
      <c r="I112" s="11">
        <f t="shared" si="10"/>
        <v>0</v>
      </c>
      <c r="J112" s="11">
        <f>13326.768404136*E112*F112</f>
        <v>13326.768404136</v>
      </c>
      <c r="K112" s="11">
        <f>19307.583428351*E112*F112</f>
        <v>19307.583428351</v>
      </c>
      <c r="L112" s="15">
        <f t="shared" si="7"/>
        <v>1296.3663159035902</v>
      </c>
      <c r="M112" s="13">
        <f t="shared" si="9"/>
        <v>129636.63159035901</v>
      </c>
    </row>
    <row r="113" spans="2:13" ht="13.5" thickBot="1" thickTop="1">
      <c r="B113" s="7">
        <v>109</v>
      </c>
      <c r="C113" s="5" t="s">
        <v>176</v>
      </c>
      <c r="D113" s="5" t="s">
        <v>177</v>
      </c>
      <c r="E113" s="9">
        <v>1</v>
      </c>
      <c r="F113" s="9">
        <v>1</v>
      </c>
      <c r="G113" s="11">
        <f>21652.479288*E113*F113</f>
        <v>21652.479288</v>
      </c>
      <c r="H113" s="11">
        <f>39465.53405712*E113*F113</f>
        <v>39465.53405712</v>
      </c>
      <c r="I113" s="11">
        <f t="shared" si="10"/>
        <v>0</v>
      </c>
      <c r="J113" s="11">
        <f>21695.784246576*E113*F113</f>
        <v>21695.784246576</v>
      </c>
      <c r="K113" s="11">
        <f>14492.414578547*E113*F113</f>
        <v>14492.414578547</v>
      </c>
      <c r="L113" s="15">
        <f t="shared" si="7"/>
        <v>973.06212170243</v>
      </c>
      <c r="M113" s="13">
        <f t="shared" si="9"/>
        <v>97306.212170243</v>
      </c>
    </row>
    <row r="114" spans="2:13" ht="13.5" thickBot="1" thickTop="1">
      <c r="B114" s="7">
        <v>110</v>
      </c>
      <c r="C114" s="5" t="s">
        <v>178</v>
      </c>
      <c r="D114" s="5" t="s">
        <v>56</v>
      </c>
      <c r="E114" s="9">
        <v>1</v>
      </c>
      <c r="F114" s="9">
        <v>1</v>
      </c>
      <c r="G114" s="11">
        <f>14279.665224*E114*F114</f>
        <v>14279.665224</v>
      </c>
      <c r="H114" s="11">
        <f>49750.765723872*E114*F114</f>
        <v>49750.765723872</v>
      </c>
      <c r="I114" s="11">
        <f t="shared" si="10"/>
        <v>0</v>
      </c>
      <c r="J114" s="11">
        <f>14308.224554448*E114*F114</f>
        <v>14308.224554448</v>
      </c>
      <c r="K114" s="11">
        <f>13709.264712906*E114*F114</f>
        <v>13709.264712906</v>
      </c>
      <c r="L114" s="15">
        <f t="shared" si="7"/>
        <v>920.47920215226</v>
      </c>
      <c r="M114" s="13">
        <f t="shared" si="9"/>
        <v>92047.920215226</v>
      </c>
    </row>
    <row r="115" spans="2:13" ht="25.5" thickBot="1" thickTop="1">
      <c r="B115" s="7">
        <v>111</v>
      </c>
      <c r="C115" s="5" t="s">
        <v>179</v>
      </c>
      <c r="D115" s="5" t="s">
        <v>180</v>
      </c>
      <c r="E115" s="9">
        <v>1</v>
      </c>
      <c r="F115" s="9">
        <v>1</v>
      </c>
      <c r="G115" s="11">
        <f>206.295144*E115*F115</f>
        <v>206.295144</v>
      </c>
      <c r="H115" s="11">
        <f>578.928244608*E115*F115</f>
        <v>578.928244608</v>
      </c>
      <c r="I115" s="11">
        <f t="shared" si="10"/>
        <v>0</v>
      </c>
      <c r="J115" s="11">
        <f>206.707734288*E115*F115</f>
        <v>206.707734288</v>
      </c>
      <c r="K115" s="11">
        <f>173.5879465068*E115*F115</f>
        <v>173.5879465068</v>
      </c>
      <c r="L115" s="15">
        <f>M115/F115/E115</f>
        <v>1165.5190694028001</v>
      </c>
      <c r="M115" s="13">
        <f t="shared" si="9"/>
        <v>1165.5190694028001</v>
      </c>
    </row>
    <row r="116" spans="2:13" ht="25.5" thickBot="1" thickTop="1">
      <c r="B116" s="7">
        <v>112</v>
      </c>
      <c r="C116" s="5" t="s">
        <v>181</v>
      </c>
      <c r="D116" s="5" t="s">
        <v>182</v>
      </c>
      <c r="E116" s="9">
        <v>1</v>
      </c>
      <c r="F116" s="9">
        <v>1</v>
      </c>
      <c r="G116" s="11">
        <f>75266.923116*E116*F116</f>
        <v>75266.923116</v>
      </c>
      <c r="H116" s="11">
        <f>11041.180128*E116*F116</f>
        <v>11041.180128</v>
      </c>
      <c r="I116" s="11">
        <f>396.356688*E116*F116</f>
        <v>396.356688</v>
      </c>
      <c r="J116" s="11">
        <f>75718.417874616*E116*F116</f>
        <v>75718.417874616</v>
      </c>
      <c r="K116" s="11">
        <f>28424.003616158*E116*F116</f>
        <v>28424.003616158</v>
      </c>
      <c r="L116" s="15">
        <f t="shared" si="7"/>
        <v>1908.4688142277403</v>
      </c>
      <c r="M116" s="13">
        <f t="shared" si="9"/>
        <v>190846.88142277402</v>
      </c>
    </row>
    <row r="117" spans="2:13" ht="25.5" thickBot="1" thickTop="1">
      <c r="B117" s="7">
        <v>113</v>
      </c>
      <c r="C117" s="5" t="s">
        <v>183</v>
      </c>
      <c r="D117" s="5" t="s">
        <v>184</v>
      </c>
      <c r="E117" s="9">
        <v>1</v>
      </c>
      <c r="F117" s="9">
        <v>1</v>
      </c>
      <c r="G117" s="11">
        <f>42.14628*E117*F117</f>
        <v>42.14628</v>
      </c>
      <c r="H117" s="11">
        <f>614.50330644*E117*F117</f>
        <v>614.50330644</v>
      </c>
      <c r="I117" s="11">
        <f>0.7813338*E117*F117</f>
        <v>0.7813338</v>
      </c>
      <c r="J117" s="11">
        <f>42.23057256*E117*F117</f>
        <v>42.23057256</v>
      </c>
      <c r="K117" s="11">
        <f>122.44076124*E117*F117</f>
        <v>122.44076124</v>
      </c>
      <c r="L117" s="15">
        <f>M117/F117/E117</f>
        <v>822.10225404</v>
      </c>
      <c r="M117" s="13">
        <f t="shared" si="9"/>
        <v>822.10225404</v>
      </c>
    </row>
    <row r="118" spans="2:13" ht="37.5" thickBot="1" thickTop="1">
      <c r="B118" s="7">
        <v>114</v>
      </c>
      <c r="C118" s="5" t="s">
        <v>185</v>
      </c>
      <c r="D118" s="5" t="s">
        <v>186</v>
      </c>
      <c r="E118" s="9">
        <v>1</v>
      </c>
      <c r="F118" s="9">
        <v>1</v>
      </c>
      <c r="G118" s="11">
        <f>38159.22*E118*F118</f>
        <v>38159.22</v>
      </c>
      <c r="H118" s="11">
        <f>19017.403988688*E118*F118</f>
        <v>19017.403988688</v>
      </c>
      <c r="I118" s="11">
        <f aca="true" t="shared" si="12" ref="I118:I131">0*E118*F118</f>
        <v>0</v>
      </c>
      <c r="J118" s="11">
        <f>38235.53844*E118*F118</f>
        <v>38235.53844</v>
      </c>
      <c r="K118" s="11">
        <f>16697.12842502*E118*F118</f>
        <v>16697.12842502</v>
      </c>
      <c r="L118" s="15">
        <f t="shared" si="7"/>
        <v>1121.09290853708</v>
      </c>
      <c r="M118" s="13">
        <f t="shared" si="9"/>
        <v>112109.290853708</v>
      </c>
    </row>
    <row r="119" spans="2:13" ht="13.5" thickBot="1" thickTop="1">
      <c r="B119" s="7">
        <v>115</v>
      </c>
      <c r="C119" s="5" t="s">
        <v>187</v>
      </c>
      <c r="D119" s="5" t="s">
        <v>188</v>
      </c>
      <c r="E119" s="9">
        <v>1</v>
      </c>
      <c r="F119" s="9">
        <v>1</v>
      </c>
      <c r="G119" s="11">
        <f>11211.156*E119*F119</f>
        <v>11211.156</v>
      </c>
      <c r="H119" s="11">
        <f>6325.74867168*E119*F119</f>
        <v>6325.74867168</v>
      </c>
      <c r="I119" s="11">
        <f t="shared" si="12"/>
        <v>0</v>
      </c>
      <c r="J119" s="11">
        <f>11233.578312*E119*F119</f>
        <v>11233.578312</v>
      </c>
      <c r="K119" s="11">
        <f>5034.834522144*E119*F119</f>
        <v>5034.834522144</v>
      </c>
      <c r="L119" s="15">
        <f t="shared" si="7"/>
        <v>338.05317505824</v>
      </c>
      <c r="M119" s="13">
        <f t="shared" si="9"/>
        <v>33805.317505824</v>
      </c>
    </row>
    <row r="120" spans="2:13" ht="25.5" thickBot="1" thickTop="1">
      <c r="B120" s="7">
        <v>116</v>
      </c>
      <c r="C120" s="5" t="s">
        <v>189</v>
      </c>
      <c r="D120" s="5" t="s">
        <v>190</v>
      </c>
      <c r="E120" s="9">
        <v>1</v>
      </c>
      <c r="F120" s="9">
        <v>1</v>
      </c>
      <c r="G120" s="11">
        <f>4110.7572*E120*F120</f>
        <v>4110.7572</v>
      </c>
      <c r="H120" s="11">
        <f>2673.1533312*E120*F120</f>
        <v>2673.1533312</v>
      </c>
      <c r="I120" s="11">
        <f t="shared" si="12"/>
        <v>0</v>
      </c>
      <c r="J120" s="11">
        <f>4118.9787144*E120*F120</f>
        <v>4118.9787144</v>
      </c>
      <c r="K120" s="11">
        <f>1908.00561798*E120*F120</f>
        <v>1908.00561798</v>
      </c>
      <c r="L120" s="15">
        <f t="shared" si="7"/>
        <v>128.10894863579998</v>
      </c>
      <c r="M120" s="13">
        <f t="shared" si="9"/>
        <v>12810.894863579999</v>
      </c>
    </row>
    <row r="121" spans="2:13" ht="13.5" thickBot="1" thickTop="1">
      <c r="B121" s="7">
        <v>117</v>
      </c>
      <c r="C121" s="5" t="s">
        <v>191</v>
      </c>
      <c r="D121" s="5" t="s">
        <v>92</v>
      </c>
      <c r="E121" s="9">
        <v>1</v>
      </c>
      <c r="F121" s="9">
        <v>1</v>
      </c>
      <c r="G121" s="11">
        <f>9716.3352*E121*F121</f>
        <v>9716.3352</v>
      </c>
      <c r="H121" s="11">
        <f>16136.060837907*E121*F121</f>
        <v>16136.060837907</v>
      </c>
      <c r="I121" s="11">
        <f t="shared" si="12"/>
        <v>0</v>
      </c>
      <c r="J121" s="11">
        <f>9735.7678704*E121*F121</f>
        <v>9735.7678704</v>
      </c>
      <c r="K121" s="11">
        <f>6227.9286839537*E121*F121</f>
        <v>6227.9286839537</v>
      </c>
      <c r="L121" s="15">
        <f t="shared" si="7"/>
        <v>418.16092592260696</v>
      </c>
      <c r="M121" s="13">
        <f t="shared" si="9"/>
        <v>41816.0925922607</v>
      </c>
    </row>
    <row r="122" spans="2:13" ht="13.5" thickBot="1" thickTop="1">
      <c r="B122" s="7">
        <v>118</v>
      </c>
      <c r="C122" s="5" t="s">
        <v>192</v>
      </c>
      <c r="D122" s="5" t="s">
        <v>92</v>
      </c>
      <c r="E122" s="9">
        <v>1</v>
      </c>
      <c r="F122" s="9">
        <v>1</v>
      </c>
      <c r="G122" s="11">
        <f>12875.4384*E122*F122</f>
        <v>12875.4384</v>
      </c>
      <c r="H122" s="11">
        <f>15416.83025013*E122*F122</f>
        <v>15416.83025013</v>
      </c>
      <c r="I122" s="11">
        <f t="shared" si="12"/>
        <v>0</v>
      </c>
      <c r="J122" s="11">
        <f>12901.1892768*E122*F122</f>
        <v>12901.1892768</v>
      </c>
      <c r="K122" s="11">
        <f>7208.8551372128*E122*F122</f>
        <v>7208.8551372128</v>
      </c>
      <c r="L122" s="15">
        <f t="shared" si="7"/>
        <v>484.023130641428</v>
      </c>
      <c r="M122" s="13">
        <f t="shared" si="9"/>
        <v>48402.3130641428</v>
      </c>
    </row>
    <row r="123" spans="2:13" ht="13.5" thickBot="1" thickTop="1">
      <c r="B123" s="7">
        <v>119</v>
      </c>
      <c r="C123" s="5" t="s">
        <v>193</v>
      </c>
      <c r="D123" s="5" t="s">
        <v>92</v>
      </c>
      <c r="E123" s="9">
        <v>1</v>
      </c>
      <c r="F123" s="9">
        <v>1</v>
      </c>
      <c r="G123" s="11">
        <f>5418.7254*E123*F123</f>
        <v>5418.7254</v>
      </c>
      <c r="H123" s="11">
        <f>4255.2345924*E123*F123</f>
        <v>4255.2345924</v>
      </c>
      <c r="I123" s="11">
        <f t="shared" si="12"/>
        <v>0</v>
      </c>
      <c r="J123" s="11">
        <f>5429.5628508*E123*F123</f>
        <v>5429.5628508</v>
      </c>
      <c r="K123" s="11">
        <f>2643.11649756*E123*F123</f>
        <v>2643.11649756</v>
      </c>
      <c r="L123" s="15">
        <f t="shared" si="7"/>
        <v>177.4663934076</v>
      </c>
      <c r="M123" s="13">
        <f t="shared" si="9"/>
        <v>17746.63934076</v>
      </c>
    </row>
    <row r="124" spans="2:13" ht="13.5" thickBot="1" thickTop="1">
      <c r="B124" s="7">
        <v>120</v>
      </c>
      <c r="C124" s="5" t="s">
        <v>194</v>
      </c>
      <c r="D124" s="5" t="s">
        <v>92</v>
      </c>
      <c r="E124" s="9">
        <v>1</v>
      </c>
      <c r="F124" s="9">
        <v>1</v>
      </c>
      <c r="G124" s="11">
        <f>80167.824*E124*F124</f>
        <v>80167.824</v>
      </c>
      <c r="H124" s="11">
        <f>2693.43346896*E124*F124</f>
        <v>2693.43346896</v>
      </c>
      <c r="I124" s="11">
        <f t="shared" si="12"/>
        <v>0</v>
      </c>
      <c r="J124" s="11">
        <f>80328.159648*E124*F124</f>
        <v>80328.159648</v>
      </c>
      <c r="K124" s="11">
        <f>28558.147995468*E124*F124</f>
        <v>28558.147995468</v>
      </c>
      <c r="L124" s="15">
        <f t="shared" si="7"/>
        <v>1917.47565112428</v>
      </c>
      <c r="M124" s="13">
        <f t="shared" si="9"/>
        <v>191747.56511242798</v>
      </c>
    </row>
    <row r="125" spans="2:13" ht="13.5" thickBot="1" thickTop="1">
      <c r="B125" s="7">
        <v>121</v>
      </c>
      <c r="C125" s="5" t="s">
        <v>195</v>
      </c>
      <c r="D125" s="5" t="s">
        <v>92</v>
      </c>
      <c r="E125" s="9">
        <v>1</v>
      </c>
      <c r="F125" s="9">
        <v>1</v>
      </c>
      <c r="G125" s="11">
        <f>70450.512*E125*F125</f>
        <v>70450.512</v>
      </c>
      <c r="H125" s="11">
        <f>2693.43346896*E125*F125</f>
        <v>2693.43346896</v>
      </c>
      <c r="I125" s="11">
        <f t="shared" si="12"/>
        <v>0</v>
      </c>
      <c r="J125" s="11">
        <f>70591.413024*E125*F125</f>
        <v>70591.413024</v>
      </c>
      <c r="K125" s="11">
        <f>25153.687736268*E125*F125</f>
        <v>25153.687736268</v>
      </c>
      <c r="L125" s="15">
        <f t="shared" si="7"/>
        <v>1688.89046229228</v>
      </c>
      <c r="M125" s="13">
        <f t="shared" si="9"/>
        <v>168889.046229228</v>
      </c>
    </row>
    <row r="126" spans="2:13" ht="13.5" thickBot="1" thickTop="1">
      <c r="B126" s="7">
        <v>122</v>
      </c>
      <c r="C126" s="5" t="s">
        <v>196</v>
      </c>
      <c r="D126" s="5" t="s">
        <v>197</v>
      </c>
      <c r="E126" s="9">
        <v>1</v>
      </c>
      <c r="F126" s="9">
        <v>1</v>
      </c>
      <c r="G126" s="11">
        <f>8429.256*E126*F126</f>
        <v>8429.256</v>
      </c>
      <c r="H126" s="11">
        <f>269.343346896*E126*F126</f>
        <v>269.343346896</v>
      </c>
      <c r="I126" s="11">
        <f t="shared" si="12"/>
        <v>0</v>
      </c>
      <c r="J126" s="11">
        <f>8446.114512*E126*F126</f>
        <v>8446.114512</v>
      </c>
      <c r="K126" s="11">
        <f>3000.3249253068*E126*F126</f>
        <v>3000.3249253068</v>
      </c>
      <c r="L126" s="15">
        <f t="shared" si="7"/>
        <v>201.450387842028</v>
      </c>
      <c r="M126" s="13">
        <f t="shared" si="9"/>
        <v>20145.0387842028</v>
      </c>
    </row>
    <row r="127" spans="2:13" ht="37.5" thickBot="1" thickTop="1">
      <c r="B127" s="7">
        <v>123</v>
      </c>
      <c r="C127" s="5" t="s">
        <v>198</v>
      </c>
      <c r="D127" s="5" t="s">
        <v>199</v>
      </c>
      <c r="E127" s="9">
        <v>1</v>
      </c>
      <c r="F127" s="9">
        <v>1</v>
      </c>
      <c r="G127" s="11">
        <f>12097.0509*E127*F127</f>
        <v>12097.0509</v>
      </c>
      <c r="H127" s="11">
        <f>1523.309792256*E127*F127</f>
        <v>1523.309792256</v>
      </c>
      <c r="I127" s="11">
        <f t="shared" si="12"/>
        <v>0</v>
      </c>
      <c r="J127" s="11">
        <f>12121.2450018*E127*F127</f>
        <v>12121.2450018</v>
      </c>
      <c r="K127" s="11">
        <f>4504.7809964598*E127*F127</f>
        <v>4504.7809964598</v>
      </c>
      <c r="L127" s="15">
        <f t="shared" si="7"/>
        <v>302.463866905158</v>
      </c>
      <c r="M127" s="13">
        <f t="shared" si="9"/>
        <v>30246.3866905158</v>
      </c>
    </row>
    <row r="128" spans="2:13" ht="37.5" thickBot="1" thickTop="1">
      <c r="B128" s="7">
        <v>124</v>
      </c>
      <c r="C128" s="5" t="s">
        <v>200</v>
      </c>
      <c r="D128" s="5" t="s">
        <v>199</v>
      </c>
      <c r="E128" s="9">
        <v>1</v>
      </c>
      <c r="F128" s="9">
        <v>1</v>
      </c>
      <c r="G128" s="11">
        <f>15563.847024*E128*F128</f>
        <v>15563.847024</v>
      </c>
      <c r="H128" s="11">
        <f>2083.621914864*E128*F128</f>
        <v>2083.621914864</v>
      </c>
      <c r="I128" s="11">
        <f t="shared" si="12"/>
        <v>0</v>
      </c>
      <c r="J128" s="11">
        <f>15594.974718048*E128*F128</f>
        <v>15594.974718048</v>
      </c>
      <c r="K128" s="11">
        <f>5817.4276399596*E128*F128</f>
        <v>5817.4276399596</v>
      </c>
      <c r="L128" s="15">
        <f t="shared" si="7"/>
        <v>390.598712968716</v>
      </c>
      <c r="M128" s="13">
        <f t="shared" si="9"/>
        <v>39059.8712968716</v>
      </c>
    </row>
    <row r="129" spans="2:13" ht="13.5" thickBot="1" thickTop="1">
      <c r="B129" s="7">
        <v>125</v>
      </c>
      <c r="C129" s="5" t="s">
        <v>201</v>
      </c>
      <c r="D129" s="5" t="s">
        <v>202</v>
      </c>
      <c r="E129" s="9">
        <v>1</v>
      </c>
      <c r="F129" s="9">
        <v>1</v>
      </c>
      <c r="G129" s="11">
        <f>8585.8245*E129*F129</f>
        <v>8585.8245</v>
      </c>
      <c r="H129" s="11">
        <f>723.3440976*E129*F129</f>
        <v>723.3440976</v>
      </c>
      <c r="I129" s="11">
        <f t="shared" si="12"/>
        <v>0</v>
      </c>
      <c r="J129" s="11">
        <f>8602.996149*E129*F129</f>
        <v>8602.996149</v>
      </c>
      <c r="K129" s="11">
        <f>3134.628830655*E129*F129</f>
        <v>3134.628830655</v>
      </c>
      <c r="L129" s="15">
        <f t="shared" si="7"/>
        <v>210.46793577255002</v>
      </c>
      <c r="M129" s="13">
        <f t="shared" si="9"/>
        <v>21046.793577255</v>
      </c>
    </row>
    <row r="130" spans="2:13" ht="13.5" thickBot="1" thickTop="1">
      <c r="B130" s="7">
        <v>126</v>
      </c>
      <c r="C130" s="5" t="s">
        <v>203</v>
      </c>
      <c r="D130" s="5" t="s">
        <v>202</v>
      </c>
      <c r="E130" s="9">
        <v>1</v>
      </c>
      <c r="F130" s="9">
        <v>1</v>
      </c>
      <c r="G130" s="11">
        <f>16408.4646*E130*F130</f>
        <v>16408.4646</v>
      </c>
      <c r="H130" s="11">
        <f>4671.634124304*E130*F130</f>
        <v>4671.634124304</v>
      </c>
      <c r="I130" s="11">
        <f t="shared" si="12"/>
        <v>0</v>
      </c>
      <c r="J130" s="11">
        <f>16441.2815292*E130*F130</f>
        <v>16441.2815292</v>
      </c>
      <c r="K130" s="11">
        <f>6566.2415443632*E130*F130</f>
        <v>6566.2415443632</v>
      </c>
      <c r="L130" s="15">
        <f t="shared" si="7"/>
        <v>440.876217978672</v>
      </c>
      <c r="M130" s="13">
        <f t="shared" si="9"/>
        <v>44087.6217978672</v>
      </c>
    </row>
    <row r="131" spans="2:13" ht="25.5" thickBot="1" thickTop="1">
      <c r="B131" s="7">
        <v>127</v>
      </c>
      <c r="C131" s="5" t="s">
        <v>204</v>
      </c>
      <c r="D131" s="5" t="s">
        <v>205</v>
      </c>
      <c r="E131" s="9">
        <v>1</v>
      </c>
      <c r="F131" s="9">
        <v>1</v>
      </c>
      <c r="G131" s="11">
        <f>27395.082*E131*F131</f>
        <v>27395.082</v>
      </c>
      <c r="H131" s="11">
        <f>317651.1362928*E131*F131</f>
        <v>317651.1362928</v>
      </c>
      <c r="I131" s="11">
        <f t="shared" si="12"/>
        <v>0</v>
      </c>
      <c r="J131" s="11">
        <f>27449.872164*E131*F131</f>
        <v>27449.872164</v>
      </c>
      <c r="K131" s="11">
        <f>65186.81582994*E131*F131</f>
        <v>65186.81582994</v>
      </c>
      <c r="L131" s="15">
        <f t="shared" si="7"/>
        <v>4376.8290628674</v>
      </c>
      <c r="M131" s="13">
        <f t="shared" si="9"/>
        <v>437682.90628674004</v>
      </c>
    </row>
    <row r="132" spans="2:13" ht="21.75" customHeight="1" thickBot="1" thickTop="1">
      <c r="B132" s="18" t="s">
        <v>206</v>
      </c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21"/>
    </row>
    <row r="133" spans="2:13" ht="25.5" thickBot="1" thickTop="1">
      <c r="B133" s="6">
        <v>128</v>
      </c>
      <c r="C133" s="4" t="s">
        <v>207</v>
      </c>
      <c r="D133" s="4" t="s">
        <v>208</v>
      </c>
      <c r="E133" s="8">
        <v>1</v>
      </c>
      <c r="F133" s="8">
        <v>1</v>
      </c>
      <c r="G133" s="10">
        <f>17162.61096*E133*F133</f>
        <v>17162.61096</v>
      </c>
      <c r="H133" s="10">
        <f>34632.647087112*E133*F133</f>
        <v>34632.647087112</v>
      </c>
      <c r="I133" s="10">
        <f aca="true" t="shared" si="13" ref="I133:I164">0*E133*F133</f>
        <v>0</v>
      </c>
      <c r="J133" s="10">
        <f>17196.93618192*E133*F133</f>
        <v>17196.93618192</v>
      </c>
      <c r="K133" s="10">
        <f>12073.633990081*E133*F133</f>
        <v>12073.633990081</v>
      </c>
      <c r="L133" s="15">
        <f>M133/F133/E133</f>
        <v>81065.828219113</v>
      </c>
      <c r="M133" s="12">
        <f aca="true" t="shared" si="14" ref="M133:M196">SUM(G133:K133)</f>
        <v>81065.828219113</v>
      </c>
    </row>
    <row r="134" spans="2:13" ht="13.5" thickBot="1" thickTop="1">
      <c r="B134" s="7">
        <v>129</v>
      </c>
      <c r="C134" s="5" t="s">
        <v>209</v>
      </c>
      <c r="D134" s="5" t="s">
        <v>208</v>
      </c>
      <c r="E134" s="9">
        <v>1</v>
      </c>
      <c r="F134" s="9">
        <v>1</v>
      </c>
      <c r="G134" s="11">
        <f>1259.0523*E134*F134</f>
        <v>1259.0523</v>
      </c>
      <c r="H134" s="11">
        <f>76462.61904*E134*F134</f>
        <v>76462.61904</v>
      </c>
      <c r="I134" s="11">
        <f t="shared" si="13"/>
        <v>0</v>
      </c>
      <c r="J134" s="11">
        <f>1261.5704046*E134*F134</f>
        <v>1261.5704046</v>
      </c>
      <c r="K134" s="11">
        <f>13822.067305305*E134*F134</f>
        <v>13822.067305305</v>
      </c>
      <c r="L134" s="15">
        <f>M134/F134/E134</f>
        <v>92805.309049905</v>
      </c>
      <c r="M134" s="13">
        <f t="shared" si="14"/>
        <v>92805.309049905</v>
      </c>
    </row>
    <row r="135" spans="2:13" ht="13.5" thickBot="1" thickTop="1">
      <c r="B135" s="7">
        <v>130</v>
      </c>
      <c r="C135" s="5" t="s">
        <v>210</v>
      </c>
      <c r="D135" s="5" t="s">
        <v>208</v>
      </c>
      <c r="E135" s="9">
        <v>1</v>
      </c>
      <c r="F135" s="9">
        <v>1</v>
      </c>
      <c r="G135" s="11">
        <f>577.404036*E135*F135</f>
        <v>577.404036</v>
      </c>
      <c r="H135" s="11">
        <f>0*E135*F135</f>
        <v>0</v>
      </c>
      <c r="I135" s="11">
        <f t="shared" si="13"/>
        <v>0</v>
      </c>
      <c r="J135" s="11">
        <f>578.558844072*E135*F135</f>
        <v>578.558844072</v>
      </c>
      <c r="K135" s="11">
        <f>202.2935040126*E135*F135</f>
        <v>202.2935040126</v>
      </c>
      <c r="L135" s="15">
        <f>M135/F135/E135</f>
        <v>1358.2563840846</v>
      </c>
      <c r="M135" s="13">
        <f t="shared" si="14"/>
        <v>1358.2563840846</v>
      </c>
    </row>
    <row r="136" spans="2:13" ht="25.5" thickBot="1" thickTop="1">
      <c r="B136" s="7">
        <v>131</v>
      </c>
      <c r="C136" s="5" t="s">
        <v>211</v>
      </c>
      <c r="D136" s="5" t="s">
        <v>212</v>
      </c>
      <c r="E136" s="9">
        <v>1</v>
      </c>
      <c r="F136" s="9">
        <v>1</v>
      </c>
      <c r="G136" s="11">
        <f>12401.7465*E136*F136</f>
        <v>12401.7465</v>
      </c>
      <c r="H136" s="11">
        <f>31833.340461504*E136*F136</f>
        <v>31833.340461504</v>
      </c>
      <c r="I136" s="11">
        <f t="shared" si="13"/>
        <v>0</v>
      </c>
      <c r="J136" s="11">
        <f>12426.549993*E136*F136</f>
        <v>12426.549993</v>
      </c>
      <c r="K136" s="11">
        <f>9915.7864670382*E136*F136</f>
        <v>9915.7864670382</v>
      </c>
      <c r="L136" s="15">
        <f>M136/F136/E136/100</f>
        <v>665.774234215422</v>
      </c>
      <c r="M136" s="13">
        <f t="shared" si="14"/>
        <v>66577.4234215422</v>
      </c>
    </row>
    <row r="137" spans="2:13" ht="25.5" thickBot="1" thickTop="1">
      <c r="B137" s="7">
        <v>132</v>
      </c>
      <c r="C137" s="5" t="s">
        <v>213</v>
      </c>
      <c r="D137" s="5" t="s">
        <v>212</v>
      </c>
      <c r="E137" s="9">
        <v>1</v>
      </c>
      <c r="F137" s="9">
        <v>1</v>
      </c>
      <c r="G137" s="11">
        <f>13355.727*E137*F137</f>
        <v>13355.727</v>
      </c>
      <c r="H137" s="11">
        <f>39442.948461504*E137*F137</f>
        <v>39442.948461504</v>
      </c>
      <c r="I137" s="11">
        <f t="shared" si="13"/>
        <v>0</v>
      </c>
      <c r="J137" s="11">
        <f>13382.438454*E137*F137</f>
        <v>13382.438454</v>
      </c>
      <c r="K137" s="11">
        <f>11581.694935213*E137*F137</f>
        <v>11581.694935213</v>
      </c>
      <c r="L137" s="15">
        <f aca="true" t="shared" si="15" ref="L137:L142">M137/F137/E137/100</f>
        <v>777.62808850717</v>
      </c>
      <c r="M137" s="13">
        <f t="shared" si="14"/>
        <v>77762.808850717</v>
      </c>
    </row>
    <row r="138" spans="2:13" ht="25.5" thickBot="1" thickTop="1">
      <c r="B138" s="7">
        <v>133</v>
      </c>
      <c r="C138" s="5" t="s">
        <v>214</v>
      </c>
      <c r="D138" s="5" t="s">
        <v>212</v>
      </c>
      <c r="E138" s="9">
        <v>1</v>
      </c>
      <c r="F138" s="9">
        <v>1</v>
      </c>
      <c r="G138" s="11">
        <f>19773.080439504*E138*F138</f>
        <v>19773.080439504</v>
      </c>
      <c r="H138" s="11">
        <f>49759.817333616*E138*F138</f>
        <v>49759.817333616</v>
      </c>
      <c r="I138" s="11">
        <f t="shared" si="13"/>
        <v>0</v>
      </c>
      <c r="J138" s="11">
        <f>19812.626600383*E138*F138</f>
        <v>19812.626600383</v>
      </c>
      <c r="K138" s="11">
        <f>15635.466765363*E138*F138</f>
        <v>15635.466765363</v>
      </c>
      <c r="L138" s="15">
        <f t="shared" si="15"/>
        <v>1049.8099113886599</v>
      </c>
      <c r="M138" s="13">
        <f t="shared" si="14"/>
        <v>104980.991138866</v>
      </c>
    </row>
    <row r="139" spans="2:13" ht="25.5" thickBot="1" thickTop="1">
      <c r="B139" s="7">
        <v>134</v>
      </c>
      <c r="C139" s="5" t="s">
        <v>215</v>
      </c>
      <c r="D139" s="5" t="s">
        <v>212</v>
      </c>
      <c r="E139" s="9">
        <v>1</v>
      </c>
      <c r="F139" s="9">
        <v>1</v>
      </c>
      <c r="G139" s="11">
        <f>22631.143119662*E139*F139</f>
        <v>22631.143119662</v>
      </c>
      <c r="H139" s="11">
        <f>56682.097586568*E139*F139</f>
        <v>56682.097586568</v>
      </c>
      <c r="I139" s="11">
        <f t="shared" si="13"/>
        <v>0</v>
      </c>
      <c r="J139" s="11">
        <f>22676.405405901*E139*F139</f>
        <v>22676.405405901</v>
      </c>
      <c r="K139" s="11">
        <f>17848.188069623*E139*F139</f>
        <v>17848.188069623</v>
      </c>
      <c r="L139" s="15">
        <f t="shared" si="15"/>
        <v>1198.37834181754</v>
      </c>
      <c r="M139" s="13">
        <f t="shared" si="14"/>
        <v>119837.834181754</v>
      </c>
    </row>
    <row r="140" spans="2:13" ht="25.5" thickBot="1" thickTop="1">
      <c r="B140" s="7">
        <v>135</v>
      </c>
      <c r="C140" s="5" t="s">
        <v>216</v>
      </c>
      <c r="D140" s="5" t="s">
        <v>212</v>
      </c>
      <c r="E140" s="9">
        <v>1</v>
      </c>
      <c r="F140" s="9">
        <v>1</v>
      </c>
      <c r="G140" s="11">
        <f>29436.022308*E140*F140</f>
        <v>29436.022308</v>
      </c>
      <c r="H140" s="11">
        <f>72069.000287904*E140*F140</f>
        <v>72069.000287904</v>
      </c>
      <c r="I140" s="11">
        <f t="shared" si="13"/>
        <v>0</v>
      </c>
      <c r="J140" s="11">
        <f>29494.894352616*E140*F140</f>
        <v>29494.894352616</v>
      </c>
      <c r="K140" s="11">
        <f>22924.985465991*E140*F140</f>
        <v>22924.985465991</v>
      </c>
      <c r="L140" s="15">
        <f t="shared" si="15"/>
        <v>1539.2490241451098</v>
      </c>
      <c r="M140" s="13">
        <f t="shared" si="14"/>
        <v>153924.902414511</v>
      </c>
    </row>
    <row r="141" spans="2:13" ht="25.5" thickBot="1" thickTop="1">
      <c r="B141" s="7">
        <v>136</v>
      </c>
      <c r="C141" s="5" t="s">
        <v>217</v>
      </c>
      <c r="D141" s="5" t="s">
        <v>212</v>
      </c>
      <c r="E141" s="9">
        <v>1</v>
      </c>
      <c r="F141" s="9">
        <v>1</v>
      </c>
      <c r="G141" s="11">
        <f>32239.453005272*E141*F141</f>
        <v>32239.453005272</v>
      </c>
      <c r="H141" s="11">
        <f>92752.972588224*E141*F141</f>
        <v>92752.972588224</v>
      </c>
      <c r="I141" s="11">
        <f t="shared" si="13"/>
        <v>0</v>
      </c>
      <c r="J141" s="11">
        <f>32303.931911283*E141*F141</f>
        <v>32303.931911283</v>
      </c>
      <c r="K141" s="11">
        <f>27526.862563336*E141*F141</f>
        <v>27526.862563336</v>
      </c>
      <c r="L141" s="15">
        <f t="shared" si="15"/>
        <v>1848.23220068115</v>
      </c>
      <c r="M141" s="13">
        <f t="shared" si="14"/>
        <v>184823.220068115</v>
      </c>
    </row>
    <row r="142" spans="2:13" ht="25.5" thickBot="1" thickTop="1">
      <c r="B142" s="7">
        <v>137</v>
      </c>
      <c r="C142" s="5" t="s">
        <v>218</v>
      </c>
      <c r="D142" s="5" t="s">
        <v>212</v>
      </c>
      <c r="E142" s="9">
        <v>1</v>
      </c>
      <c r="F142" s="9">
        <v>1</v>
      </c>
      <c r="G142" s="11">
        <f>23849.5125*E142*F142</f>
        <v>23849.5125</v>
      </c>
      <c r="H142" s="11">
        <f>120139.17984749*E142*F142</f>
        <v>120139.17984749</v>
      </c>
      <c r="I142" s="11">
        <f t="shared" si="13"/>
        <v>0</v>
      </c>
      <c r="J142" s="11">
        <f>23897.211525*E142*F142</f>
        <v>23897.211525</v>
      </c>
      <c r="K142" s="11">
        <f>29380.033177685*E142*F142</f>
        <v>29380.033177685</v>
      </c>
      <c r="L142" s="15">
        <f t="shared" si="15"/>
        <v>1972.65937050175</v>
      </c>
      <c r="M142" s="13">
        <f t="shared" si="14"/>
        <v>197265.93705017498</v>
      </c>
    </row>
    <row r="143" spans="2:13" ht="49.5" thickBot="1" thickTop="1">
      <c r="B143" s="7">
        <v>138</v>
      </c>
      <c r="C143" s="5" t="s">
        <v>219</v>
      </c>
      <c r="D143" s="5" t="s">
        <v>220</v>
      </c>
      <c r="E143" s="9">
        <v>1</v>
      </c>
      <c r="F143" s="9">
        <v>1</v>
      </c>
      <c r="G143" s="11">
        <f>339.277554*E143*F143</f>
        <v>339.277554</v>
      </c>
      <c r="H143" s="11">
        <f>227.54210184*E143*F143</f>
        <v>227.54210184</v>
      </c>
      <c r="I143" s="11">
        <f t="shared" si="13"/>
        <v>0</v>
      </c>
      <c r="J143" s="11">
        <f>339.956109108*E143*F143</f>
        <v>339.956109108</v>
      </c>
      <c r="K143" s="11">
        <f>158.6857588659*E143*F143</f>
        <v>158.6857588659</v>
      </c>
      <c r="L143" s="15">
        <f>M143/F143/E143</f>
        <v>1065.4615238139</v>
      </c>
      <c r="M143" s="13">
        <f t="shared" si="14"/>
        <v>1065.4615238139</v>
      </c>
    </row>
    <row r="144" spans="2:13" ht="49.5" thickBot="1" thickTop="1">
      <c r="B144" s="7">
        <v>139</v>
      </c>
      <c r="C144" s="5" t="s">
        <v>221</v>
      </c>
      <c r="D144" s="5" t="s">
        <v>220</v>
      </c>
      <c r="E144" s="9">
        <v>1</v>
      </c>
      <c r="F144" s="9">
        <v>1</v>
      </c>
      <c r="G144" s="11">
        <f>366.672636*E144*F144</f>
        <v>366.672636</v>
      </c>
      <c r="H144" s="11">
        <f>264.99601224*E144*F144</f>
        <v>264.99601224</v>
      </c>
      <c r="I144" s="11">
        <f t="shared" si="13"/>
        <v>0</v>
      </c>
      <c r="J144" s="11">
        <f>367.405981272*E144*F144</f>
        <v>367.405981272</v>
      </c>
      <c r="K144" s="11">
        <f>174.8380601646*E144*F144</f>
        <v>174.8380601646</v>
      </c>
      <c r="L144" s="15">
        <f>M144/F144/E144</f>
        <v>1173.9126896766</v>
      </c>
      <c r="M144" s="13">
        <f t="shared" si="14"/>
        <v>1173.9126896766</v>
      </c>
    </row>
    <row r="145" spans="2:13" ht="49.5" thickBot="1" thickTop="1">
      <c r="B145" s="7">
        <v>140</v>
      </c>
      <c r="C145" s="5" t="s">
        <v>222</v>
      </c>
      <c r="D145" s="5" t="s">
        <v>220</v>
      </c>
      <c r="E145" s="9">
        <v>1</v>
      </c>
      <c r="F145" s="9">
        <v>1</v>
      </c>
      <c r="G145" s="11">
        <f>385.638462*E145*F145</f>
        <v>385.638462</v>
      </c>
      <c r="H145" s="11">
        <f>307.93515624*E145*F145</f>
        <v>307.93515624</v>
      </c>
      <c r="I145" s="11">
        <f t="shared" si="13"/>
        <v>0</v>
      </c>
      <c r="J145" s="11">
        <f>386.409738924*E145*F145</f>
        <v>386.409738924</v>
      </c>
      <c r="K145" s="11">
        <f>188.9970875037*E145*F145</f>
        <v>188.9970875037</v>
      </c>
      <c r="L145" s="15">
        <f>M145/F145/E145</f>
        <v>1268.9804446677</v>
      </c>
      <c r="M145" s="13">
        <f t="shared" si="14"/>
        <v>1268.9804446677</v>
      </c>
    </row>
    <row r="146" spans="2:13" ht="25.5" thickBot="1" thickTop="1">
      <c r="B146" s="7">
        <v>141</v>
      </c>
      <c r="C146" s="5" t="s">
        <v>223</v>
      </c>
      <c r="D146" s="5" t="s">
        <v>224</v>
      </c>
      <c r="E146" s="9">
        <v>1</v>
      </c>
      <c r="F146" s="9">
        <v>1</v>
      </c>
      <c r="G146" s="11">
        <f>10920.844*E146*F146</f>
        <v>10920.844</v>
      </c>
      <c r="H146" s="11">
        <f>782859.14419392*E146*F146</f>
        <v>782859.14419392</v>
      </c>
      <c r="I146" s="11">
        <f t="shared" si="13"/>
        <v>0</v>
      </c>
      <c r="J146" s="11">
        <f>10942.685688*E146*F146</f>
        <v>10942.685688</v>
      </c>
      <c r="K146" s="11">
        <f>140826.46792934*E146*F146</f>
        <v>140826.46792934</v>
      </c>
      <c r="L146" s="15">
        <f aca="true" t="shared" si="16" ref="L146:L153">M146/F146/E146/100</f>
        <v>9455.4914181126</v>
      </c>
      <c r="M146" s="13">
        <f t="shared" si="14"/>
        <v>945549.14181126</v>
      </c>
    </row>
    <row r="147" spans="2:13" ht="25.5" thickBot="1" thickTop="1">
      <c r="B147" s="7">
        <v>142</v>
      </c>
      <c r="C147" s="5" t="s">
        <v>225</v>
      </c>
      <c r="D147" s="5" t="s">
        <v>224</v>
      </c>
      <c r="E147" s="9">
        <v>1</v>
      </c>
      <c r="F147" s="9">
        <v>1</v>
      </c>
      <c r="G147" s="11">
        <f>13899.256*E147*F147</f>
        <v>13899.256</v>
      </c>
      <c r="H147" s="11">
        <f>1247220.2641939*E147*F147</f>
        <v>1247220.2641939</v>
      </c>
      <c r="I147" s="11">
        <f t="shared" si="13"/>
        <v>0</v>
      </c>
      <c r="J147" s="11">
        <f>13927.054512*E147*F147</f>
        <v>13927.054512</v>
      </c>
      <c r="K147" s="11">
        <f>223133.15057354*E147*F147</f>
        <v>223133.15057354</v>
      </c>
      <c r="L147" s="15">
        <f t="shared" si="16"/>
        <v>14981.7972527944</v>
      </c>
      <c r="M147" s="13">
        <f t="shared" si="14"/>
        <v>1498179.72527944</v>
      </c>
    </row>
    <row r="148" spans="2:13" ht="13.5" thickBot="1" thickTop="1">
      <c r="B148" s="7">
        <v>143</v>
      </c>
      <c r="C148" s="5" t="s">
        <v>226</v>
      </c>
      <c r="D148" s="5" t="s">
        <v>227</v>
      </c>
      <c r="E148" s="9">
        <v>1</v>
      </c>
      <c r="F148" s="9">
        <v>1</v>
      </c>
      <c r="G148" s="11">
        <f>6114.7491*E148*F148</f>
        <v>6114.7491</v>
      </c>
      <c r="H148" s="11">
        <f>66675.027045888*E148*F148</f>
        <v>66675.027045888</v>
      </c>
      <c r="I148" s="11">
        <f t="shared" si="13"/>
        <v>0</v>
      </c>
      <c r="J148" s="11">
        <f>6126.9785982*E148*F148</f>
        <v>6126.9785982</v>
      </c>
      <c r="K148" s="11">
        <f>13810.432080215*E148*F148</f>
        <v>13810.432080215</v>
      </c>
      <c r="L148" s="15">
        <f t="shared" si="16"/>
        <v>927.27186824303</v>
      </c>
      <c r="M148" s="13">
        <f t="shared" si="14"/>
        <v>92727.186824303</v>
      </c>
    </row>
    <row r="149" spans="2:13" ht="13.5" thickBot="1" thickTop="1">
      <c r="B149" s="7">
        <v>144</v>
      </c>
      <c r="C149" s="5" t="s">
        <v>228</v>
      </c>
      <c r="D149" s="5" t="s">
        <v>227</v>
      </c>
      <c r="E149" s="9">
        <v>1</v>
      </c>
      <c r="F149" s="9">
        <v>1</v>
      </c>
      <c r="G149" s="11">
        <f>6114.7491*E149*F149</f>
        <v>6114.7491</v>
      </c>
      <c r="H149" s="11">
        <f>83592.849045888*E149*F149</f>
        <v>83592.849045888</v>
      </c>
      <c r="I149" s="11">
        <f t="shared" si="13"/>
        <v>0</v>
      </c>
      <c r="J149" s="11">
        <f>6126.9785982*E149*F149</f>
        <v>6126.9785982</v>
      </c>
      <c r="K149" s="11">
        <f>16771.050930215*E149*F149</f>
        <v>16771.050930215</v>
      </c>
      <c r="L149" s="15">
        <f t="shared" si="16"/>
        <v>1126.0562767430301</v>
      </c>
      <c r="M149" s="13">
        <f t="shared" si="14"/>
        <v>112605.627674303</v>
      </c>
    </row>
    <row r="150" spans="2:13" ht="25.5" thickBot="1" thickTop="1">
      <c r="B150" s="7">
        <v>145</v>
      </c>
      <c r="C150" s="5" t="s">
        <v>229</v>
      </c>
      <c r="D150" s="5" t="s">
        <v>230</v>
      </c>
      <c r="E150" s="9">
        <v>1</v>
      </c>
      <c r="F150" s="9">
        <v>1</v>
      </c>
      <c r="G150" s="11">
        <f>17706.8133*E150*F150</f>
        <v>17706.8133</v>
      </c>
      <c r="H150" s="11">
        <f>272344.04371902*E150*F150</f>
        <v>272344.04371902</v>
      </c>
      <c r="I150" s="11">
        <f t="shared" si="13"/>
        <v>0</v>
      </c>
      <c r="J150" s="11">
        <f>17742.2269266*E150*F150</f>
        <v>17742.2269266</v>
      </c>
      <c r="K150" s="11">
        <f>53863.789690484*E150*F150</f>
        <v>53863.789690484</v>
      </c>
      <c r="L150" s="15">
        <f t="shared" si="16"/>
        <v>3616.5687363610396</v>
      </c>
      <c r="M150" s="13">
        <f t="shared" si="14"/>
        <v>361656.87363610393</v>
      </c>
    </row>
    <row r="151" spans="2:13" ht="37.5" thickBot="1" thickTop="1">
      <c r="B151" s="7">
        <v>146</v>
      </c>
      <c r="C151" s="5" t="s">
        <v>231</v>
      </c>
      <c r="D151" s="5" t="s">
        <v>232</v>
      </c>
      <c r="E151" s="9">
        <v>1</v>
      </c>
      <c r="F151" s="9">
        <v>1</v>
      </c>
      <c r="G151" s="11">
        <f>23072.5143*E151*F151</f>
        <v>23072.5143</v>
      </c>
      <c r="H151" s="11">
        <f>5332.6940403298*E151*F151</f>
        <v>5332.6940403298</v>
      </c>
      <c r="I151" s="11">
        <f t="shared" si="13"/>
        <v>0</v>
      </c>
      <c r="J151" s="11">
        <f>23118.6593286*E151*F151</f>
        <v>23118.6593286</v>
      </c>
      <c r="K151" s="11">
        <f>9016.6768420627*E151*F151</f>
        <v>9016.6768420627</v>
      </c>
      <c r="L151" s="15">
        <f t="shared" si="16"/>
        <v>605.405445109925</v>
      </c>
      <c r="M151" s="13">
        <f t="shared" si="14"/>
        <v>60540.5445109925</v>
      </c>
    </row>
    <row r="152" spans="2:13" ht="37.5" thickBot="1" thickTop="1">
      <c r="B152" s="7">
        <v>147</v>
      </c>
      <c r="C152" s="5" t="s">
        <v>233</v>
      </c>
      <c r="D152" s="5" t="s">
        <v>232</v>
      </c>
      <c r="E152" s="9">
        <v>1</v>
      </c>
      <c r="F152" s="9">
        <v>1</v>
      </c>
      <c r="G152" s="11">
        <f>23072.5143*E152*F152</f>
        <v>23072.5143</v>
      </c>
      <c r="H152" s="11">
        <f>1237.2633560081*E152*F152</f>
        <v>1237.2633560081</v>
      </c>
      <c r="I152" s="11">
        <f t="shared" si="13"/>
        <v>0</v>
      </c>
      <c r="J152" s="11">
        <f>23118.6593286*E152*F152</f>
        <v>23118.6593286</v>
      </c>
      <c r="K152" s="11">
        <f>8299.9764723064*E152*F152</f>
        <v>8299.9764723064</v>
      </c>
      <c r="L152" s="15">
        <f t="shared" si="16"/>
        <v>557.284134569145</v>
      </c>
      <c r="M152" s="13">
        <f t="shared" si="14"/>
        <v>55728.413456914495</v>
      </c>
    </row>
    <row r="153" spans="2:13" ht="37.5" thickBot="1" thickTop="1">
      <c r="B153" s="7">
        <v>148</v>
      </c>
      <c r="C153" s="5" t="s">
        <v>234</v>
      </c>
      <c r="D153" s="5" t="s">
        <v>232</v>
      </c>
      <c r="E153" s="9">
        <v>1</v>
      </c>
      <c r="F153" s="9">
        <v>1</v>
      </c>
      <c r="G153" s="11">
        <f>23072.5143*E153*F153</f>
        <v>23072.5143</v>
      </c>
      <c r="H153" s="11">
        <f>1767.6213624*E153*F153</f>
        <v>1767.6213624</v>
      </c>
      <c r="I153" s="11">
        <f t="shared" si="13"/>
        <v>0</v>
      </c>
      <c r="J153" s="11">
        <f>23118.6593286*E153*F153</f>
        <v>23118.6593286</v>
      </c>
      <c r="K153" s="11">
        <f>8392.789123425*E153*F153</f>
        <v>8392.789123425</v>
      </c>
      <c r="L153" s="15">
        <f t="shared" si="16"/>
        <v>563.51584114425</v>
      </c>
      <c r="M153" s="13">
        <f t="shared" si="14"/>
        <v>56351.584114425</v>
      </c>
    </row>
    <row r="154" spans="2:13" ht="13.5" thickBot="1" thickTop="1">
      <c r="B154" s="7">
        <v>149</v>
      </c>
      <c r="C154" s="5" t="s">
        <v>235</v>
      </c>
      <c r="D154" s="5" t="s">
        <v>236</v>
      </c>
      <c r="E154" s="9">
        <v>1</v>
      </c>
      <c r="F154" s="9">
        <v>1</v>
      </c>
      <c r="G154" s="11">
        <f>438.321312*E154*F154</f>
        <v>438.321312</v>
      </c>
      <c r="H154" s="11">
        <f>35348.77343664*E154*F154</f>
        <v>35348.77343664</v>
      </c>
      <c r="I154" s="11">
        <f t="shared" si="13"/>
        <v>0</v>
      </c>
      <c r="J154" s="11">
        <f>439.197954624*E154*F154</f>
        <v>439.197954624</v>
      </c>
      <c r="K154" s="11">
        <f>6339.6012230712*E154*F154</f>
        <v>6339.6012230712</v>
      </c>
      <c r="L154" s="15">
        <f aca="true" t="shared" si="17" ref="L154:L161">M154/F154/E154</f>
        <v>42565.8939263352</v>
      </c>
      <c r="M154" s="13">
        <f t="shared" si="14"/>
        <v>42565.8939263352</v>
      </c>
    </row>
    <row r="155" spans="2:13" ht="13.5" thickBot="1" thickTop="1">
      <c r="B155" s="7">
        <v>150</v>
      </c>
      <c r="C155" s="5" t="s">
        <v>237</v>
      </c>
      <c r="D155" s="5" t="s">
        <v>236</v>
      </c>
      <c r="E155" s="9">
        <v>1</v>
      </c>
      <c r="F155" s="9">
        <v>1</v>
      </c>
      <c r="G155" s="11">
        <f>533.150442*E155*F155</f>
        <v>533.150442</v>
      </c>
      <c r="H155" s="11">
        <f>81892.85832*E155*F155</f>
        <v>81892.85832</v>
      </c>
      <c r="I155" s="11">
        <f t="shared" si="13"/>
        <v>0</v>
      </c>
      <c r="J155" s="11">
        <f>534.216742884*E155*F155</f>
        <v>534.216742884</v>
      </c>
      <c r="K155" s="11">
        <f>14518.039463355*E155*F155</f>
        <v>14518.039463355</v>
      </c>
      <c r="L155" s="15">
        <f t="shared" si="17"/>
        <v>97478.264968239</v>
      </c>
      <c r="M155" s="13">
        <f t="shared" si="14"/>
        <v>97478.264968239</v>
      </c>
    </row>
    <row r="156" spans="2:13" ht="13.5" thickBot="1" thickTop="1">
      <c r="B156" s="7">
        <v>151</v>
      </c>
      <c r="C156" s="5" t="s">
        <v>238</v>
      </c>
      <c r="D156" s="5" t="s">
        <v>239</v>
      </c>
      <c r="E156" s="9">
        <v>1</v>
      </c>
      <c r="F156" s="9">
        <v>1</v>
      </c>
      <c r="G156" s="11">
        <f>2915.1936*E156*F156</f>
        <v>2915.1936</v>
      </c>
      <c r="H156" s="11">
        <f>16890.903654178*E156*F156</f>
        <v>16890.903654178</v>
      </c>
      <c r="I156" s="11">
        <f t="shared" si="13"/>
        <v>0</v>
      </c>
      <c r="J156" s="11">
        <f>2921.0239872*E156*F156</f>
        <v>2921.0239872</v>
      </c>
      <c r="K156" s="11">
        <f>3977.2462172411*E156*F156</f>
        <v>3977.2462172411</v>
      </c>
      <c r="L156" s="15">
        <f t="shared" si="17"/>
        <v>26704.3674586191</v>
      </c>
      <c r="M156" s="13">
        <f t="shared" si="14"/>
        <v>26704.3674586191</v>
      </c>
    </row>
    <row r="157" spans="2:13" ht="13.5" thickBot="1" thickTop="1">
      <c r="B157" s="7">
        <v>152</v>
      </c>
      <c r="C157" s="5" t="s">
        <v>240</v>
      </c>
      <c r="D157" s="5" t="s">
        <v>241</v>
      </c>
      <c r="E157" s="9">
        <v>1</v>
      </c>
      <c r="F157" s="9">
        <v>1</v>
      </c>
      <c r="G157" s="11">
        <f>4372.7904*E157*F157</f>
        <v>4372.7904</v>
      </c>
      <c r="H157" s="11">
        <f>18701.891342208*E157*F157</f>
        <v>18701.891342208</v>
      </c>
      <c r="I157" s="11">
        <f t="shared" si="13"/>
        <v>0</v>
      </c>
      <c r="J157" s="11">
        <f>4381.5359808*E157*F157</f>
        <v>4381.5359808</v>
      </c>
      <c r="K157" s="11">
        <f>4804.8381015264*E157*F157</f>
        <v>4804.8381015264</v>
      </c>
      <c r="L157" s="15">
        <f t="shared" si="17"/>
        <v>32261.0558245344</v>
      </c>
      <c r="M157" s="13">
        <f t="shared" si="14"/>
        <v>32261.0558245344</v>
      </c>
    </row>
    <row r="158" spans="2:13" ht="13.5" thickBot="1" thickTop="1">
      <c r="B158" s="7">
        <v>153</v>
      </c>
      <c r="C158" s="5" t="s">
        <v>242</v>
      </c>
      <c r="D158" s="5" t="s">
        <v>241</v>
      </c>
      <c r="E158" s="9">
        <v>1</v>
      </c>
      <c r="F158" s="9">
        <v>1</v>
      </c>
      <c r="G158" s="11">
        <f>5344.5216*E158*F158</f>
        <v>5344.5216</v>
      </c>
      <c r="H158" s="11">
        <f>25265.005021483*E158*F158</f>
        <v>25265.005021483</v>
      </c>
      <c r="I158" s="11">
        <f t="shared" si="13"/>
        <v>0</v>
      </c>
      <c r="J158" s="11">
        <f>5355.2106432*E158*F158</f>
        <v>5355.2106432</v>
      </c>
      <c r="K158" s="11">
        <f>6293.8290213196*E158*F158</f>
        <v>6293.8290213196</v>
      </c>
      <c r="L158" s="15">
        <f t="shared" si="17"/>
        <v>42258.566286002606</v>
      </c>
      <c r="M158" s="13">
        <f t="shared" si="14"/>
        <v>42258.566286002606</v>
      </c>
    </row>
    <row r="159" spans="2:13" ht="13.5" thickBot="1" thickTop="1">
      <c r="B159" s="7">
        <v>154</v>
      </c>
      <c r="C159" s="5" t="s">
        <v>243</v>
      </c>
      <c r="D159" s="5" t="s">
        <v>241</v>
      </c>
      <c r="E159" s="9">
        <v>1</v>
      </c>
      <c r="F159" s="9">
        <v>1</v>
      </c>
      <c r="G159" s="11">
        <f>566.867466*E159*F159</f>
        <v>566.867466</v>
      </c>
      <c r="H159" s="11">
        <f>4808.22696*E159*F159</f>
        <v>4808.22696</v>
      </c>
      <c r="I159" s="11">
        <f t="shared" si="13"/>
        <v>0</v>
      </c>
      <c r="J159" s="11">
        <f>568.001200932*E159*F159</f>
        <v>568.001200932</v>
      </c>
      <c r="K159" s="11">
        <f>1040.0417347131*E159*F159</f>
        <v>1040.0417347131</v>
      </c>
      <c r="L159" s="15">
        <f t="shared" si="17"/>
        <v>6983.137361645099</v>
      </c>
      <c r="M159" s="13">
        <f t="shared" si="14"/>
        <v>6983.137361645099</v>
      </c>
    </row>
    <row r="160" spans="2:13" ht="13.5" thickBot="1" thickTop="1">
      <c r="B160" s="7">
        <v>155</v>
      </c>
      <c r="C160" s="5" t="s">
        <v>244</v>
      </c>
      <c r="D160" s="5" t="s">
        <v>241</v>
      </c>
      <c r="E160" s="9">
        <v>1</v>
      </c>
      <c r="F160" s="9">
        <v>1</v>
      </c>
      <c r="G160" s="11">
        <f>1036.798488*E160*F160</f>
        <v>1036.798488</v>
      </c>
      <c r="H160" s="11">
        <f>9218.77632*E160*F160</f>
        <v>9218.77632</v>
      </c>
      <c r="I160" s="11">
        <f t="shared" si="13"/>
        <v>0</v>
      </c>
      <c r="J160" s="11">
        <f>1038.872084976*E160*F160</f>
        <v>1038.872084976</v>
      </c>
      <c r="K160" s="11">
        <f>1976.5282062708*E160*F160</f>
        <v>1976.5282062708</v>
      </c>
      <c r="L160" s="15">
        <f t="shared" si="17"/>
        <v>13270.9750992468</v>
      </c>
      <c r="M160" s="13">
        <f t="shared" si="14"/>
        <v>13270.9750992468</v>
      </c>
    </row>
    <row r="161" spans="2:13" ht="13.5" thickBot="1" thickTop="1">
      <c r="B161" s="7">
        <v>156</v>
      </c>
      <c r="C161" s="5" t="s">
        <v>245</v>
      </c>
      <c r="D161" s="5" t="s">
        <v>246</v>
      </c>
      <c r="E161" s="9">
        <v>1</v>
      </c>
      <c r="F161" s="9">
        <v>1</v>
      </c>
      <c r="G161" s="11">
        <f>2634.1425*E161*F161</f>
        <v>2634.1425</v>
      </c>
      <c r="H161" s="11">
        <f>6148.483249896*E161*F161</f>
        <v>6148.483249896</v>
      </c>
      <c r="I161" s="11">
        <f t="shared" si="13"/>
        <v>0</v>
      </c>
      <c r="J161" s="11">
        <f>2639.410785*E161*F161</f>
        <v>2639.410785</v>
      </c>
      <c r="K161" s="11">
        <f>1998.8563936068*E161*F161</f>
        <v>1998.8563936068</v>
      </c>
      <c r="L161" s="15">
        <f t="shared" si="17"/>
        <v>13420.8929285028</v>
      </c>
      <c r="M161" s="13">
        <f t="shared" si="14"/>
        <v>13420.8929285028</v>
      </c>
    </row>
    <row r="162" spans="2:13" ht="25.5" thickBot="1" thickTop="1">
      <c r="B162" s="7">
        <v>157</v>
      </c>
      <c r="C162" s="5" t="s">
        <v>247</v>
      </c>
      <c r="D162" s="5" t="s">
        <v>248</v>
      </c>
      <c r="E162" s="9">
        <v>1</v>
      </c>
      <c r="F162" s="9">
        <v>1</v>
      </c>
      <c r="G162" s="11">
        <f>150424.89*E162*F162</f>
        <v>150424.89</v>
      </c>
      <c r="H162" s="11">
        <f>11553.049261953*E162*F162</f>
        <v>11553.049261953</v>
      </c>
      <c r="I162" s="11">
        <f t="shared" si="13"/>
        <v>0</v>
      </c>
      <c r="J162" s="11">
        <f>150725.73978*E162*F162</f>
        <v>150725.73978</v>
      </c>
      <c r="K162" s="11">
        <f>54723.143832342*E162*F162</f>
        <v>54723.143832342</v>
      </c>
      <c r="L162" s="15">
        <f aca="true" t="shared" si="18" ref="L162:L177">M162/F162/E162/100</f>
        <v>3674.2682287429507</v>
      </c>
      <c r="M162" s="13">
        <f t="shared" si="14"/>
        <v>367426.82287429506</v>
      </c>
    </row>
    <row r="163" spans="2:13" ht="25.5" thickBot="1" thickTop="1">
      <c r="B163" s="7">
        <v>158</v>
      </c>
      <c r="C163" s="5" t="s">
        <v>249</v>
      </c>
      <c r="D163" s="5" t="s">
        <v>248</v>
      </c>
      <c r="E163" s="9">
        <v>1</v>
      </c>
      <c r="F163" s="9">
        <v>1</v>
      </c>
      <c r="G163" s="11">
        <f>193403.43*E163*F163</f>
        <v>193403.43</v>
      </c>
      <c r="H163" s="11">
        <f>13165.658844489*E163*F163</f>
        <v>13165.658844489</v>
      </c>
      <c r="I163" s="11">
        <f t="shared" si="13"/>
        <v>0</v>
      </c>
      <c r="J163" s="11">
        <f>193790.23686*E163*F163</f>
        <v>193790.23686</v>
      </c>
      <c r="K163" s="11">
        <f>70062.881998286*E163*F163</f>
        <v>70062.881998286</v>
      </c>
      <c r="L163" s="15">
        <f t="shared" si="18"/>
        <v>4704.22207702775</v>
      </c>
      <c r="M163" s="13">
        <f t="shared" si="14"/>
        <v>470422.207702775</v>
      </c>
    </row>
    <row r="164" spans="2:13" ht="25.5" thickBot="1" thickTop="1">
      <c r="B164" s="7">
        <v>159</v>
      </c>
      <c r="C164" s="5" t="s">
        <v>250</v>
      </c>
      <c r="D164" s="5" t="s">
        <v>248</v>
      </c>
      <c r="E164" s="9">
        <v>1</v>
      </c>
      <c r="F164" s="9">
        <v>1</v>
      </c>
      <c r="G164" s="11">
        <f>217041.627*E164*F164</f>
        <v>217041.627</v>
      </c>
      <c r="H164" s="11">
        <f>13448.557336545*E164*F164</f>
        <v>13448.557336545</v>
      </c>
      <c r="I164" s="11">
        <f t="shared" si="13"/>
        <v>0</v>
      </c>
      <c r="J164" s="11">
        <f>217475.710254*E164*F164</f>
        <v>217475.710254</v>
      </c>
      <c r="K164" s="11">
        <f>78394.031553345*E164*F164</f>
        <v>78394.031553345</v>
      </c>
      <c r="L164" s="15">
        <f t="shared" si="18"/>
        <v>5263.5992614389</v>
      </c>
      <c r="M164" s="13">
        <f t="shared" si="14"/>
        <v>526359.92614389</v>
      </c>
    </row>
    <row r="165" spans="2:13" ht="13.5" thickBot="1" thickTop="1">
      <c r="B165" s="7">
        <v>160</v>
      </c>
      <c r="C165" s="5" t="s">
        <v>251</v>
      </c>
      <c r="D165" s="5" t="s">
        <v>154</v>
      </c>
      <c r="E165" s="9">
        <v>1</v>
      </c>
      <c r="F165" s="9">
        <v>1</v>
      </c>
      <c r="G165" s="11">
        <f>27798.512*E165*F165</f>
        <v>27798.512</v>
      </c>
      <c r="H165" s="11">
        <f>476550.32045162*E165*F165</f>
        <v>476550.32045162</v>
      </c>
      <c r="I165" s="11">
        <f aca="true" t="shared" si="19" ref="I165:I196">0*E165*F165</f>
        <v>0</v>
      </c>
      <c r="J165" s="11">
        <f>27854.109024*E165*F165</f>
        <v>27854.109024</v>
      </c>
      <c r="K165" s="11">
        <f>93135.514758234*E165*F165</f>
        <v>93135.514758234</v>
      </c>
      <c r="L165" s="15">
        <f t="shared" si="18"/>
        <v>6253.38456233854</v>
      </c>
      <c r="M165" s="13">
        <f t="shared" si="14"/>
        <v>625338.4562338539</v>
      </c>
    </row>
    <row r="166" spans="2:13" ht="13.5" thickBot="1" thickTop="1">
      <c r="B166" s="7">
        <v>161</v>
      </c>
      <c r="C166" s="5" t="s">
        <v>252</v>
      </c>
      <c r="D166" s="5" t="s">
        <v>154</v>
      </c>
      <c r="E166" s="9">
        <v>1</v>
      </c>
      <c r="F166" s="9">
        <v>1</v>
      </c>
      <c r="G166" s="11">
        <f>32266.13*E166*F166</f>
        <v>32266.13</v>
      </c>
      <c r="H166" s="11">
        <f>931332.55082112*E166*F166</f>
        <v>931332.55082112</v>
      </c>
      <c r="I166" s="11">
        <f t="shared" si="19"/>
        <v>0</v>
      </c>
      <c r="J166" s="11">
        <f>32330.66226*E166*F166</f>
        <v>32330.66226</v>
      </c>
      <c r="K166" s="11">
        <f>174287.6350392*E166*F166</f>
        <v>174287.6350392</v>
      </c>
      <c r="L166" s="15">
        <f t="shared" si="18"/>
        <v>11702.1697812032</v>
      </c>
      <c r="M166" s="13">
        <f t="shared" si="14"/>
        <v>1170216.97812032</v>
      </c>
    </row>
    <row r="167" spans="2:13" ht="13.5" thickBot="1" thickTop="1">
      <c r="B167" s="7">
        <v>162</v>
      </c>
      <c r="C167" s="5" t="s">
        <v>253</v>
      </c>
      <c r="D167" s="5" t="s">
        <v>154</v>
      </c>
      <c r="E167" s="9">
        <v>1</v>
      </c>
      <c r="F167" s="9">
        <v>1</v>
      </c>
      <c r="G167" s="11">
        <f>36733.748*E167*F167</f>
        <v>36733.748</v>
      </c>
      <c r="H167" s="11">
        <f>1715146.8339413*E167*F167</f>
        <v>1715146.8339413</v>
      </c>
      <c r="I167" s="11">
        <f t="shared" si="19"/>
        <v>0</v>
      </c>
      <c r="J167" s="11">
        <f>36807.215496*E167*F167</f>
        <v>36807.215496</v>
      </c>
      <c r="K167" s="11">
        <f>313020.36455152*E167*F167</f>
        <v>313020.36455152</v>
      </c>
      <c r="L167" s="15">
        <f t="shared" si="18"/>
        <v>21017.0816198882</v>
      </c>
      <c r="M167" s="13">
        <f t="shared" si="14"/>
        <v>2101708.16198882</v>
      </c>
    </row>
    <row r="168" spans="2:13" ht="25.5" thickBot="1" thickTop="1">
      <c r="B168" s="7">
        <v>163</v>
      </c>
      <c r="C168" s="5" t="s">
        <v>254</v>
      </c>
      <c r="D168" s="5" t="s">
        <v>154</v>
      </c>
      <c r="E168" s="9">
        <v>1</v>
      </c>
      <c r="F168" s="9">
        <v>1</v>
      </c>
      <c r="G168" s="11">
        <f>40704.964*E168*F168</f>
        <v>40704.964</v>
      </c>
      <c r="H168" s="11">
        <f>14285.469363624*E168*F168</f>
        <v>14285.469363624</v>
      </c>
      <c r="I168" s="11">
        <f t="shared" si="19"/>
        <v>0</v>
      </c>
      <c r="J168" s="11">
        <f>40786.373928*E168*F168</f>
        <v>40786.373928</v>
      </c>
      <c r="K168" s="11">
        <f>16760.941276034*E168*F168</f>
        <v>16760.941276034</v>
      </c>
      <c r="L168" s="15">
        <f t="shared" si="18"/>
        <v>1125.3774856765801</v>
      </c>
      <c r="M168" s="13">
        <f t="shared" si="14"/>
        <v>112537.74856765801</v>
      </c>
    </row>
    <row r="169" spans="2:13" ht="25.5" thickBot="1" thickTop="1">
      <c r="B169" s="7">
        <v>164</v>
      </c>
      <c r="C169" s="5" t="s">
        <v>255</v>
      </c>
      <c r="D169" s="5" t="s">
        <v>154</v>
      </c>
      <c r="E169" s="9">
        <v>1</v>
      </c>
      <c r="F169" s="9">
        <v>1</v>
      </c>
      <c r="G169" s="11">
        <f>53611.416*E169*F169</f>
        <v>53611.416</v>
      </c>
      <c r="H169" s="11">
        <f>41948.15558256*E169*F169</f>
        <v>41948.15558256</v>
      </c>
      <c r="I169" s="11">
        <f t="shared" si="19"/>
        <v>0</v>
      </c>
      <c r="J169" s="11">
        <f>53718.638832*E169*F169</f>
        <v>53718.638832</v>
      </c>
      <c r="K169" s="11">
        <f>26123.686822548*E169*F169</f>
        <v>26123.686822548</v>
      </c>
      <c r="L169" s="15">
        <f t="shared" si="18"/>
        <v>1754.0189723710798</v>
      </c>
      <c r="M169" s="13">
        <f t="shared" si="14"/>
        <v>175401.89723710797</v>
      </c>
    </row>
    <row r="170" spans="2:13" ht="25.5" thickBot="1" thickTop="1">
      <c r="B170" s="7">
        <v>165</v>
      </c>
      <c r="C170" s="5" t="s">
        <v>256</v>
      </c>
      <c r="D170" s="5" t="s">
        <v>257</v>
      </c>
      <c r="E170" s="9">
        <v>1</v>
      </c>
      <c r="F170" s="9">
        <v>1</v>
      </c>
      <c r="G170" s="11">
        <f>7346.7496*E170*F170</f>
        <v>7346.7496</v>
      </c>
      <c r="H170" s="11">
        <f>20381.933276928*E170*F170</f>
        <v>20381.933276928</v>
      </c>
      <c r="I170" s="11">
        <f t="shared" si="19"/>
        <v>0</v>
      </c>
      <c r="J170" s="11">
        <f>7361.4430992*E170*F170</f>
        <v>7361.4430992</v>
      </c>
      <c r="K170" s="11">
        <f>6140.7720458224*E170*F170</f>
        <v>6140.7720458224</v>
      </c>
      <c r="L170" s="15">
        <f t="shared" si="18"/>
        <v>412.308980219504</v>
      </c>
      <c r="M170" s="13">
        <f t="shared" si="14"/>
        <v>41230.8980219504</v>
      </c>
    </row>
    <row r="171" spans="2:13" ht="25.5" thickBot="1" thickTop="1">
      <c r="B171" s="7">
        <v>166</v>
      </c>
      <c r="C171" s="5" t="s">
        <v>258</v>
      </c>
      <c r="D171" s="5" t="s">
        <v>257</v>
      </c>
      <c r="E171" s="9">
        <v>1</v>
      </c>
      <c r="F171" s="9">
        <v>1</v>
      </c>
      <c r="G171" s="11">
        <f>7644.5908*E171*F171</f>
        <v>7644.5908</v>
      </c>
      <c r="H171" s="11">
        <f>29780.958617856*E171*F171</f>
        <v>29780.958617856</v>
      </c>
      <c r="I171" s="11">
        <f t="shared" si="19"/>
        <v>0</v>
      </c>
      <c r="J171" s="11">
        <f>7659.8799816*E171*F171</f>
        <v>7659.8799816</v>
      </c>
      <c r="K171" s="11">
        <f>7889.9501449048*E171*F171</f>
        <v>7889.9501449048</v>
      </c>
      <c r="L171" s="15">
        <f t="shared" si="18"/>
        <v>529.7537954436079</v>
      </c>
      <c r="M171" s="13">
        <f t="shared" si="14"/>
        <v>52975.379544360796</v>
      </c>
    </row>
    <row r="172" spans="2:13" ht="25.5" thickBot="1" thickTop="1">
      <c r="B172" s="7">
        <v>167</v>
      </c>
      <c r="C172" s="5" t="s">
        <v>259</v>
      </c>
      <c r="D172" s="5" t="s">
        <v>257</v>
      </c>
      <c r="E172" s="9">
        <v>1</v>
      </c>
      <c r="F172" s="9">
        <v>1</v>
      </c>
      <c r="G172" s="11">
        <f>8240.2732*E172*F172</f>
        <v>8240.2732</v>
      </c>
      <c r="H172" s="11">
        <f>117984.77595878*E172*F172</f>
        <v>117984.77595878</v>
      </c>
      <c r="I172" s="11">
        <f t="shared" si="19"/>
        <v>0</v>
      </c>
      <c r="J172" s="11">
        <f>8256.7537464*E172*F172</f>
        <v>8256.7537464</v>
      </c>
      <c r="K172" s="11">
        <f>23534.315508407*E172*F172</f>
        <v>23534.315508407</v>
      </c>
      <c r="L172" s="15">
        <f t="shared" si="18"/>
        <v>1580.16118413587</v>
      </c>
      <c r="M172" s="13">
        <f t="shared" si="14"/>
        <v>158016.11841358698</v>
      </c>
    </row>
    <row r="173" spans="2:13" ht="13.5" thickBot="1" thickTop="1">
      <c r="B173" s="7">
        <v>168</v>
      </c>
      <c r="C173" s="5" t="s">
        <v>260</v>
      </c>
      <c r="D173" s="5" t="s">
        <v>261</v>
      </c>
      <c r="E173" s="9">
        <v>1</v>
      </c>
      <c r="F173" s="9">
        <v>1</v>
      </c>
      <c r="G173" s="11">
        <f>1440.4*E173*F173</f>
        <v>1440.4</v>
      </c>
      <c r="H173" s="11">
        <f>21584.656814184*E173*F173</f>
        <v>21584.656814184</v>
      </c>
      <c r="I173" s="11">
        <f t="shared" si="19"/>
        <v>0</v>
      </c>
      <c r="J173" s="11">
        <f>1443.2808*E173*F173</f>
        <v>1443.2808</v>
      </c>
      <c r="K173" s="11">
        <f>4281.9590824822*E173*F173</f>
        <v>4281.9590824822</v>
      </c>
      <c r="L173" s="15">
        <f t="shared" si="18"/>
        <v>287.50296696666203</v>
      </c>
      <c r="M173" s="13">
        <f t="shared" si="14"/>
        <v>28750.296696666202</v>
      </c>
    </row>
    <row r="174" spans="2:13" ht="13.5" thickBot="1" thickTop="1">
      <c r="B174" s="7">
        <v>169</v>
      </c>
      <c r="C174" s="5" t="s">
        <v>262</v>
      </c>
      <c r="D174" s="5" t="s">
        <v>261</v>
      </c>
      <c r="E174" s="9">
        <v>1</v>
      </c>
      <c r="F174" s="9">
        <v>1</v>
      </c>
      <c r="G174" s="11">
        <f>1440.4*E174*F174</f>
        <v>1440.4</v>
      </c>
      <c r="H174" s="11">
        <f>28287.646008048*E174*F174</f>
        <v>28287.646008048</v>
      </c>
      <c r="I174" s="11">
        <f t="shared" si="19"/>
        <v>0</v>
      </c>
      <c r="J174" s="11">
        <f>1443.2808*E174*F174</f>
        <v>1443.2808</v>
      </c>
      <c r="K174" s="11">
        <f>5454.9821914084*E174*F174</f>
        <v>5454.9821914084</v>
      </c>
      <c r="L174" s="15">
        <f t="shared" si="18"/>
        <v>366.263089994564</v>
      </c>
      <c r="M174" s="13">
        <f t="shared" si="14"/>
        <v>36626.3089994564</v>
      </c>
    </row>
    <row r="175" spans="2:13" ht="13.5" thickBot="1" thickTop="1">
      <c r="B175" s="7">
        <v>170</v>
      </c>
      <c r="C175" s="5" t="s">
        <v>263</v>
      </c>
      <c r="D175" s="5" t="s">
        <v>261</v>
      </c>
      <c r="E175" s="9">
        <v>1</v>
      </c>
      <c r="F175" s="9">
        <v>1</v>
      </c>
      <c r="G175" s="11">
        <f>1440.4*E175*F175</f>
        <v>1440.4</v>
      </c>
      <c r="H175" s="11">
        <f>41978.589012072*E175*F175</f>
        <v>41978.589012072</v>
      </c>
      <c r="I175" s="11">
        <f t="shared" si="19"/>
        <v>0</v>
      </c>
      <c r="J175" s="11">
        <f>1443.2808*E175*F175</f>
        <v>1443.2808</v>
      </c>
      <c r="K175" s="11">
        <f>7850.8972171126*E175*F175</f>
        <v>7850.8972171126</v>
      </c>
      <c r="L175" s="15">
        <f t="shared" si="18"/>
        <v>527.131670291846</v>
      </c>
      <c r="M175" s="13">
        <f t="shared" si="14"/>
        <v>52713.1670291846</v>
      </c>
    </row>
    <row r="176" spans="2:13" ht="25.5" thickBot="1" thickTop="1">
      <c r="B176" s="7">
        <v>171</v>
      </c>
      <c r="C176" s="5" t="s">
        <v>264</v>
      </c>
      <c r="D176" s="5" t="s">
        <v>257</v>
      </c>
      <c r="E176" s="9">
        <v>1</v>
      </c>
      <c r="F176" s="9">
        <v>1</v>
      </c>
      <c r="G176" s="11">
        <f>11800.393*E176*F176</f>
        <v>11800.393</v>
      </c>
      <c r="H176" s="11">
        <f>41792.5277892*E176*F176</f>
        <v>41792.5277892</v>
      </c>
      <c r="I176" s="11">
        <f t="shared" si="19"/>
        <v>0</v>
      </c>
      <c r="J176" s="11">
        <f>11823.993786*E176*F176</f>
        <v>11823.993786</v>
      </c>
      <c r="K176" s="11">
        <f>11447.96005066*E176*F176</f>
        <v>11447.96005066</v>
      </c>
      <c r="L176" s="15">
        <f t="shared" si="18"/>
        <v>768.6487462586</v>
      </c>
      <c r="M176" s="13">
        <f t="shared" si="14"/>
        <v>76864.87462586</v>
      </c>
    </row>
    <row r="177" spans="2:13" ht="25.5" thickBot="1" thickTop="1">
      <c r="B177" s="7">
        <v>172</v>
      </c>
      <c r="C177" s="5" t="s">
        <v>265</v>
      </c>
      <c r="D177" s="5" t="s">
        <v>257</v>
      </c>
      <c r="E177" s="9">
        <v>1</v>
      </c>
      <c r="F177" s="9">
        <v>1</v>
      </c>
      <c r="G177" s="11">
        <f>13731.3664*E177*F177</f>
        <v>13731.3664</v>
      </c>
      <c r="H177" s="11">
        <f>44568.5597892*E177*F177</f>
        <v>44568.5597892</v>
      </c>
      <c r="I177" s="11">
        <f t="shared" si="19"/>
        <v>0</v>
      </c>
      <c r="J177" s="11">
        <f>13758.8291328*E177*F177</f>
        <v>13758.8291328</v>
      </c>
      <c r="K177" s="11">
        <f>12610.28218135*E177*F177</f>
        <v>12610.28218135</v>
      </c>
      <c r="L177" s="15">
        <f t="shared" si="18"/>
        <v>846.6903750335</v>
      </c>
      <c r="M177" s="13">
        <f t="shared" si="14"/>
        <v>84669.03750335</v>
      </c>
    </row>
    <row r="178" spans="2:13" ht="25.5" thickBot="1" thickTop="1">
      <c r="B178" s="7">
        <v>173</v>
      </c>
      <c r="C178" s="5" t="s">
        <v>266</v>
      </c>
      <c r="D178" s="5" t="s">
        <v>267</v>
      </c>
      <c r="E178" s="9">
        <v>1</v>
      </c>
      <c r="F178" s="9">
        <v>1</v>
      </c>
      <c r="G178" s="11">
        <f>109.580328*E178*F178</f>
        <v>109.580328</v>
      </c>
      <c r="H178" s="11">
        <f>12931.85376*E178*F178</f>
        <v>12931.85376</v>
      </c>
      <c r="I178" s="11">
        <f t="shared" si="19"/>
        <v>0</v>
      </c>
      <c r="J178" s="11">
        <f>109.799488656*E178*F178</f>
        <v>109.799488656</v>
      </c>
      <c r="K178" s="11">
        <f>2301.4658759148*E178*F178</f>
        <v>2301.4658759148</v>
      </c>
      <c r="L178" s="15">
        <f aca="true" t="shared" si="20" ref="L178:L183">M178/F178/E178</f>
        <v>15452.6994525708</v>
      </c>
      <c r="M178" s="13">
        <f t="shared" si="14"/>
        <v>15452.6994525708</v>
      </c>
    </row>
    <row r="179" spans="2:13" ht="25.5" thickBot="1" thickTop="1">
      <c r="B179" s="7">
        <v>174</v>
      </c>
      <c r="C179" s="5" t="s">
        <v>268</v>
      </c>
      <c r="D179" s="5" t="s">
        <v>267</v>
      </c>
      <c r="E179" s="9">
        <v>1</v>
      </c>
      <c r="F179" s="9">
        <v>1</v>
      </c>
      <c r="G179" s="11">
        <f>109.580328*E179*F179</f>
        <v>109.580328</v>
      </c>
      <c r="H179" s="11">
        <f>17282.09664*E179*F179</f>
        <v>17282.09664</v>
      </c>
      <c r="I179" s="11">
        <f t="shared" si="19"/>
        <v>0</v>
      </c>
      <c r="J179" s="11">
        <f>109.799488656*E179*F179</f>
        <v>109.799488656</v>
      </c>
      <c r="K179" s="11">
        <f>3062.7583799148*E179*F179</f>
        <v>3062.7583799148</v>
      </c>
      <c r="L179" s="15">
        <f t="shared" si="20"/>
        <v>20564.234836570802</v>
      </c>
      <c r="M179" s="13">
        <f t="shared" si="14"/>
        <v>20564.234836570802</v>
      </c>
    </row>
    <row r="180" spans="2:13" ht="25.5" thickBot="1" thickTop="1">
      <c r="B180" s="7">
        <v>175</v>
      </c>
      <c r="C180" s="5" t="s">
        <v>269</v>
      </c>
      <c r="D180" s="5" t="s">
        <v>267</v>
      </c>
      <c r="E180" s="9">
        <v>1</v>
      </c>
      <c r="F180" s="9">
        <v>1</v>
      </c>
      <c r="G180" s="11">
        <f>109.580328*E180*F180</f>
        <v>109.580328</v>
      </c>
      <c r="H180" s="11">
        <f>19192.30776*E180*F180</f>
        <v>19192.30776</v>
      </c>
      <c r="I180" s="11">
        <f t="shared" si="19"/>
        <v>0</v>
      </c>
      <c r="J180" s="11">
        <f>109.799488656*E180*F180</f>
        <v>109.799488656</v>
      </c>
      <c r="K180" s="11">
        <f>3397.0453259148*E180*F180</f>
        <v>3397.0453259148</v>
      </c>
      <c r="L180" s="15">
        <f t="shared" si="20"/>
        <v>22808.732902570802</v>
      </c>
      <c r="M180" s="13">
        <f t="shared" si="14"/>
        <v>22808.732902570802</v>
      </c>
    </row>
    <row r="181" spans="2:13" ht="25.5" thickBot="1" thickTop="1">
      <c r="B181" s="7">
        <v>176</v>
      </c>
      <c r="C181" s="5" t="s">
        <v>270</v>
      </c>
      <c r="D181" s="5" t="s">
        <v>267</v>
      </c>
      <c r="E181" s="9">
        <v>1</v>
      </c>
      <c r="F181" s="9">
        <v>1</v>
      </c>
      <c r="G181" s="11">
        <f>109.580328*E181*F181</f>
        <v>109.580328</v>
      </c>
      <c r="H181" s="11">
        <f>21262.11624*E181*F181</f>
        <v>21262.11624</v>
      </c>
      <c r="I181" s="11">
        <f t="shared" si="19"/>
        <v>0</v>
      </c>
      <c r="J181" s="11">
        <f>109.799488656*E181*F181</f>
        <v>109.799488656</v>
      </c>
      <c r="K181" s="11">
        <f>3759.2618099148*E181*F181</f>
        <v>3759.2618099148</v>
      </c>
      <c r="L181" s="15">
        <f t="shared" si="20"/>
        <v>25240.7578665708</v>
      </c>
      <c r="M181" s="13">
        <f t="shared" si="14"/>
        <v>25240.7578665708</v>
      </c>
    </row>
    <row r="182" spans="2:13" ht="25.5" thickBot="1" thickTop="1">
      <c r="B182" s="7">
        <v>177</v>
      </c>
      <c r="C182" s="5" t="s">
        <v>271</v>
      </c>
      <c r="D182" s="5" t="s">
        <v>267</v>
      </c>
      <c r="E182" s="9">
        <v>1</v>
      </c>
      <c r="F182" s="9">
        <v>1</v>
      </c>
      <c r="G182" s="11">
        <f>2449.94079*E182*F182</f>
        <v>2449.94079</v>
      </c>
      <c r="H182" s="11">
        <f>81892.85832*E182*F182</f>
        <v>81892.85832</v>
      </c>
      <c r="I182" s="11">
        <f t="shared" si="19"/>
        <v>0</v>
      </c>
      <c r="J182" s="11">
        <f>2454.84067158*E182*F182</f>
        <v>2454.84067158</v>
      </c>
      <c r="K182" s="11">
        <f>15189.586961776*E182*F182</f>
        <v>15189.586961776</v>
      </c>
      <c r="L182" s="15">
        <f t="shared" si="20"/>
        <v>101987.22674335599</v>
      </c>
      <c r="M182" s="13">
        <f t="shared" si="14"/>
        <v>101987.22674335599</v>
      </c>
    </row>
    <row r="183" spans="2:13" ht="25.5" thickBot="1" thickTop="1">
      <c r="B183" s="7">
        <v>178</v>
      </c>
      <c r="C183" s="5" t="s">
        <v>272</v>
      </c>
      <c r="D183" s="5" t="s">
        <v>267</v>
      </c>
      <c r="E183" s="9">
        <v>1</v>
      </c>
      <c r="F183" s="9">
        <v>1</v>
      </c>
      <c r="G183" s="11">
        <f>3354.073734*E183*F183</f>
        <v>3354.073734</v>
      </c>
      <c r="H183" s="11">
        <f>100742.45832*E183*F183</f>
        <v>100742.45832</v>
      </c>
      <c r="I183" s="11">
        <f t="shared" si="19"/>
        <v>0</v>
      </c>
      <c r="J183" s="11">
        <f>3360.781881468*E183*F183</f>
        <v>3360.781881468</v>
      </c>
      <c r="K183" s="11">
        <f>18805.029938707*E183*F183</f>
        <v>18805.029938707</v>
      </c>
      <c r="L183" s="15">
        <f t="shared" si="20"/>
        <v>126262.34387417501</v>
      </c>
      <c r="M183" s="13">
        <f t="shared" si="14"/>
        <v>126262.34387417501</v>
      </c>
    </row>
    <row r="184" spans="2:13" ht="37.5" thickBot="1" thickTop="1">
      <c r="B184" s="7">
        <v>179</v>
      </c>
      <c r="C184" s="5" t="s">
        <v>273</v>
      </c>
      <c r="D184" s="5" t="s">
        <v>274</v>
      </c>
      <c r="E184" s="9">
        <v>1</v>
      </c>
      <c r="F184" s="9">
        <v>1</v>
      </c>
      <c r="G184" s="11">
        <f>7724.01512*E184*F184</f>
        <v>7724.01512</v>
      </c>
      <c r="H184" s="11">
        <f>12897.01767911*E184*F184</f>
        <v>12897.01767911</v>
      </c>
      <c r="I184" s="11">
        <f t="shared" si="19"/>
        <v>0</v>
      </c>
      <c r="J184" s="11">
        <f>7739.46315024*E184*F184</f>
        <v>7739.46315024</v>
      </c>
      <c r="K184" s="11">
        <f>4963.0867911363*E184*F184</f>
        <v>4963.0867911363</v>
      </c>
      <c r="L184" s="15">
        <f aca="true" t="shared" si="21" ref="L184:L206">M184/F184/E184/100</f>
        <v>333.235827404863</v>
      </c>
      <c r="M184" s="13">
        <f t="shared" si="14"/>
        <v>33323.5827404863</v>
      </c>
    </row>
    <row r="185" spans="2:13" ht="37.5" thickBot="1" thickTop="1">
      <c r="B185" s="7">
        <v>180</v>
      </c>
      <c r="C185" s="5" t="s">
        <v>275</v>
      </c>
      <c r="D185" s="5" t="s">
        <v>274</v>
      </c>
      <c r="E185" s="9">
        <v>1</v>
      </c>
      <c r="F185" s="9">
        <v>1</v>
      </c>
      <c r="G185" s="11">
        <f>8528.18636*E185*F185</f>
        <v>8528.18636</v>
      </c>
      <c r="H185" s="11">
        <f>16168.64727911*E185*F185</f>
        <v>16168.64727911</v>
      </c>
      <c r="I185" s="11">
        <f t="shared" si="19"/>
        <v>0</v>
      </c>
      <c r="J185" s="11">
        <f>8545.24273272*E185*F185</f>
        <v>8545.24273272</v>
      </c>
      <c r="K185" s="11">
        <f>5817.3633650703*E185*F185</f>
        <v>5817.3633650703</v>
      </c>
      <c r="L185" s="15">
        <f t="shared" si="21"/>
        <v>390.594397369003</v>
      </c>
      <c r="M185" s="13">
        <f t="shared" si="14"/>
        <v>39059.4397369003</v>
      </c>
    </row>
    <row r="186" spans="2:13" ht="37.5" thickBot="1" thickTop="1">
      <c r="B186" s="7">
        <v>181</v>
      </c>
      <c r="C186" s="5" t="s">
        <v>276</v>
      </c>
      <c r="D186" s="5" t="s">
        <v>274</v>
      </c>
      <c r="E186" s="9">
        <v>1</v>
      </c>
      <c r="F186" s="9">
        <v>1</v>
      </c>
      <c r="G186" s="11">
        <f>9414.760332*E186*F186</f>
        <v>9414.760332</v>
      </c>
      <c r="H186" s="11">
        <f>23366.33031911*E186*F186</f>
        <v>23366.33031911</v>
      </c>
      <c r="I186" s="11">
        <f t="shared" si="19"/>
        <v>0</v>
      </c>
      <c r="J186" s="11">
        <f>9433.589852664*E186*F186</f>
        <v>9433.589852664</v>
      </c>
      <c r="K186" s="11">
        <f>7387.5690881605*E186*F186</f>
        <v>7387.5690881605</v>
      </c>
      <c r="L186" s="15">
        <f t="shared" si="21"/>
        <v>496.0224959193449</v>
      </c>
      <c r="M186" s="13">
        <f t="shared" si="14"/>
        <v>49602.249591934495</v>
      </c>
    </row>
    <row r="187" spans="2:13" ht="37.5" thickBot="1" thickTop="1">
      <c r="B187" s="7">
        <v>182</v>
      </c>
      <c r="C187" s="5" t="s">
        <v>277</v>
      </c>
      <c r="D187" s="5" t="s">
        <v>274</v>
      </c>
      <c r="E187" s="9">
        <v>1</v>
      </c>
      <c r="F187" s="9">
        <v>1</v>
      </c>
      <c r="G187" s="11">
        <f>11466.8862*E187*F187</f>
        <v>11466.8862</v>
      </c>
      <c r="H187" s="11">
        <f>35018.483781125*E187*F187</f>
        <v>35018.483781125</v>
      </c>
      <c r="I187" s="11">
        <f t="shared" si="19"/>
        <v>0</v>
      </c>
      <c r="J187" s="11">
        <f>11489.8199724*E187*F187</f>
        <v>11489.8199724</v>
      </c>
      <c r="K187" s="11">
        <f>10145.658241867*E187*F187</f>
        <v>10145.658241867</v>
      </c>
      <c r="L187" s="15">
        <f t="shared" si="21"/>
        <v>681.20848195392</v>
      </c>
      <c r="M187" s="13">
        <f t="shared" si="14"/>
        <v>68120.848195392</v>
      </c>
    </row>
    <row r="188" spans="2:13" ht="37.5" thickBot="1" thickTop="1">
      <c r="B188" s="7">
        <v>183</v>
      </c>
      <c r="C188" s="5" t="s">
        <v>278</v>
      </c>
      <c r="D188" s="5" t="s">
        <v>274</v>
      </c>
      <c r="E188" s="9">
        <v>1</v>
      </c>
      <c r="F188" s="9">
        <v>1</v>
      </c>
      <c r="G188" s="11">
        <f>12052.64056*E188*F188</f>
        <v>12052.64056</v>
      </c>
      <c r="H188" s="11">
        <f>43235.141105534*E188*F188</f>
        <v>43235.141105534</v>
      </c>
      <c r="I188" s="11">
        <f t="shared" si="19"/>
        <v>0</v>
      </c>
      <c r="J188" s="11">
        <f>12076.74584112*E188*F188</f>
        <v>12076.74584112</v>
      </c>
      <c r="K188" s="11">
        <f>11788.792313665*E188*F188</f>
        <v>11788.792313665</v>
      </c>
      <c r="L188" s="15">
        <f t="shared" si="21"/>
        <v>791.5331982031901</v>
      </c>
      <c r="M188" s="13">
        <f t="shared" si="14"/>
        <v>79153.31982031901</v>
      </c>
    </row>
    <row r="189" spans="2:13" ht="37.5" thickBot="1" thickTop="1">
      <c r="B189" s="7">
        <v>184</v>
      </c>
      <c r="C189" s="5" t="s">
        <v>279</v>
      </c>
      <c r="D189" s="5" t="s">
        <v>274</v>
      </c>
      <c r="E189" s="9">
        <v>1</v>
      </c>
      <c r="F189" s="9">
        <v>1</v>
      </c>
      <c r="G189" s="11">
        <f>13392.92596*E189*F189</f>
        <v>13392.92596</v>
      </c>
      <c r="H189" s="11">
        <f>43008.29455932*E189*F189</f>
        <v>43008.29455932</v>
      </c>
      <c r="I189" s="11">
        <f t="shared" si="19"/>
        <v>0</v>
      </c>
      <c r="J189" s="11">
        <f>13419.71181192*E189*F189</f>
        <v>13419.71181192</v>
      </c>
      <c r="K189" s="11">
        <f>12218.663157967*E189*F189</f>
        <v>12218.663157967</v>
      </c>
      <c r="L189" s="15">
        <f t="shared" si="21"/>
        <v>820.3959548920699</v>
      </c>
      <c r="M189" s="13">
        <f t="shared" si="14"/>
        <v>82039.59548920699</v>
      </c>
    </row>
    <row r="190" spans="2:13" ht="37.5" thickBot="1" thickTop="1">
      <c r="B190" s="7">
        <v>185</v>
      </c>
      <c r="C190" s="5" t="s">
        <v>280</v>
      </c>
      <c r="D190" s="5" t="s">
        <v>274</v>
      </c>
      <c r="E190" s="9">
        <v>1</v>
      </c>
      <c r="F190" s="9">
        <v>1</v>
      </c>
      <c r="G190" s="11">
        <f>15735.9434*E190*F190</f>
        <v>15735.9434</v>
      </c>
      <c r="H190" s="11">
        <f>55555.570394496*E190*F190</f>
        <v>55555.570394496</v>
      </c>
      <c r="I190" s="11">
        <f t="shared" si="19"/>
        <v>0</v>
      </c>
      <c r="J190" s="11">
        <f>15767.4152868*E190*F190</f>
        <v>15767.4152868</v>
      </c>
      <c r="K190" s="11">
        <f>15235.312589227*E190*F190</f>
        <v>15235.312589227</v>
      </c>
      <c r="L190" s="15">
        <f t="shared" si="21"/>
        <v>1022.94241670523</v>
      </c>
      <c r="M190" s="13">
        <f t="shared" si="14"/>
        <v>102294.241670523</v>
      </c>
    </row>
    <row r="191" spans="2:13" ht="37.5" thickBot="1" thickTop="1">
      <c r="B191" s="7">
        <v>186</v>
      </c>
      <c r="C191" s="5" t="s">
        <v>281</v>
      </c>
      <c r="D191" s="5" t="s">
        <v>274</v>
      </c>
      <c r="E191" s="9">
        <v>1</v>
      </c>
      <c r="F191" s="9">
        <v>1</v>
      </c>
      <c r="G191" s="11">
        <f>17354.21392*E191*F191</f>
        <v>17354.21392</v>
      </c>
      <c r="H191" s="11">
        <f>65468.603620526*E191*F191</f>
        <v>65468.603620526</v>
      </c>
      <c r="I191" s="11">
        <f t="shared" si="19"/>
        <v>0</v>
      </c>
      <c r="J191" s="11">
        <f>17388.92234784*E191*F191</f>
        <v>17388.92234784</v>
      </c>
      <c r="K191" s="11">
        <f>17537.054480464*E191*F191</f>
        <v>17537.054480464</v>
      </c>
      <c r="L191" s="15">
        <f t="shared" si="21"/>
        <v>1177.4879436882998</v>
      </c>
      <c r="M191" s="13">
        <f t="shared" si="14"/>
        <v>117748.79436882999</v>
      </c>
    </row>
    <row r="192" spans="2:13" ht="37.5" thickBot="1" thickTop="1">
      <c r="B192" s="7">
        <v>187</v>
      </c>
      <c r="C192" s="5" t="s">
        <v>282</v>
      </c>
      <c r="D192" s="5" t="s">
        <v>274</v>
      </c>
      <c r="E192" s="9">
        <v>1</v>
      </c>
      <c r="F192" s="9">
        <v>1</v>
      </c>
      <c r="G192" s="11">
        <f>12052.64056*E192*F192</f>
        <v>12052.64056</v>
      </c>
      <c r="H192" s="11">
        <f>35269.806471984*E192*F192</f>
        <v>35269.806471984</v>
      </c>
      <c r="I192" s="11">
        <f t="shared" si="19"/>
        <v>0</v>
      </c>
      <c r="J192" s="11">
        <f>12076.74584112*E192*F192</f>
        <v>12076.74584112</v>
      </c>
      <c r="K192" s="11">
        <f>10394.858752793*E192*F192</f>
        <v>10394.858752793</v>
      </c>
      <c r="L192" s="15">
        <f t="shared" si="21"/>
        <v>697.94051625897</v>
      </c>
      <c r="M192" s="13">
        <f t="shared" si="14"/>
        <v>69794.051625897</v>
      </c>
    </row>
    <row r="193" spans="2:13" ht="37.5" thickBot="1" thickTop="1">
      <c r="B193" s="7">
        <v>188</v>
      </c>
      <c r="C193" s="5" t="s">
        <v>279</v>
      </c>
      <c r="D193" s="5" t="s">
        <v>274</v>
      </c>
      <c r="E193" s="9">
        <v>1</v>
      </c>
      <c r="F193" s="9">
        <v>1</v>
      </c>
      <c r="G193" s="11">
        <f>13392.92596*E193*F193</f>
        <v>13392.92596</v>
      </c>
      <c r="H193" s="11">
        <f>40000.698592992*E193*F193</f>
        <v>40000.698592992</v>
      </c>
      <c r="I193" s="11">
        <f t="shared" si="19"/>
        <v>0</v>
      </c>
      <c r="J193" s="11">
        <f>13419.71181192*E193*F193</f>
        <v>13419.71181192</v>
      </c>
      <c r="K193" s="11">
        <f>11692.33386386*E193*F193</f>
        <v>11692.33386386</v>
      </c>
      <c r="L193" s="15">
        <f t="shared" si="21"/>
        <v>785.05670228772</v>
      </c>
      <c r="M193" s="13">
        <f t="shared" si="14"/>
        <v>78505.670228772</v>
      </c>
    </row>
    <row r="194" spans="2:13" ht="37.5" thickBot="1" thickTop="1">
      <c r="B194" s="7">
        <v>189</v>
      </c>
      <c r="C194" s="5" t="s">
        <v>280</v>
      </c>
      <c r="D194" s="5" t="s">
        <v>274</v>
      </c>
      <c r="E194" s="9">
        <v>1</v>
      </c>
      <c r="F194" s="9">
        <v>1</v>
      </c>
      <c r="G194" s="11">
        <f>15735.9434*E194*F194</f>
        <v>15735.9434</v>
      </c>
      <c r="H194" s="11">
        <f>51510.201084432*E194*F194</f>
        <v>51510.201084432</v>
      </c>
      <c r="I194" s="11">
        <f t="shared" si="19"/>
        <v>0</v>
      </c>
      <c r="J194" s="11">
        <f>15767.4152868*E194*F194</f>
        <v>15767.4152868</v>
      </c>
      <c r="K194" s="11">
        <f>14527.372959966*E194*F194</f>
        <v>14527.372959966</v>
      </c>
      <c r="L194" s="15">
        <f t="shared" si="21"/>
        <v>975.4093273119801</v>
      </c>
      <c r="M194" s="13">
        <f t="shared" si="14"/>
        <v>97540.932731198</v>
      </c>
    </row>
    <row r="195" spans="2:13" ht="37.5" thickBot="1" thickTop="1">
      <c r="B195" s="7">
        <v>190</v>
      </c>
      <c r="C195" s="5" t="s">
        <v>283</v>
      </c>
      <c r="D195" s="5" t="s">
        <v>274</v>
      </c>
      <c r="E195" s="9">
        <v>1</v>
      </c>
      <c r="F195" s="9">
        <v>1</v>
      </c>
      <c r="G195" s="11">
        <f>17354.21392*E195*F195</f>
        <v>17354.21392</v>
      </c>
      <c r="H195" s="11">
        <f>60739.977799656*E195*F195</f>
        <v>60739.977799656</v>
      </c>
      <c r="I195" s="11">
        <f t="shared" si="19"/>
        <v>0</v>
      </c>
      <c r="J195" s="11">
        <f>17388.92234784*E195*F195</f>
        <v>17388.92234784</v>
      </c>
      <c r="K195" s="11">
        <f>16709.544961812*E195*F195</f>
        <v>16709.544961812</v>
      </c>
      <c r="L195" s="15">
        <f t="shared" si="21"/>
        <v>1121.9265902930802</v>
      </c>
      <c r="M195" s="13">
        <f t="shared" si="14"/>
        <v>112192.65902930801</v>
      </c>
    </row>
    <row r="196" spans="2:13" ht="37.5" thickBot="1" thickTop="1">
      <c r="B196" s="7">
        <v>191</v>
      </c>
      <c r="C196" s="5" t="s">
        <v>284</v>
      </c>
      <c r="D196" s="5" t="s">
        <v>274</v>
      </c>
      <c r="E196" s="9">
        <v>1</v>
      </c>
      <c r="F196" s="9">
        <v>1</v>
      </c>
      <c r="G196" s="11">
        <f>12401.7465*E196*F196</f>
        <v>12401.7465</v>
      </c>
      <c r="H196" s="11">
        <f>31833.340461504*E196*F196</f>
        <v>31833.340461504</v>
      </c>
      <c r="I196" s="11">
        <f t="shared" si="19"/>
        <v>0</v>
      </c>
      <c r="J196" s="11">
        <f>12426.549993*E196*F196</f>
        <v>12426.549993</v>
      </c>
      <c r="K196" s="11">
        <f>9915.7864670382*E196*F196</f>
        <v>9915.7864670382</v>
      </c>
      <c r="L196" s="15">
        <f t="shared" si="21"/>
        <v>665.774234215422</v>
      </c>
      <c r="M196" s="13">
        <f t="shared" si="14"/>
        <v>66577.4234215422</v>
      </c>
    </row>
    <row r="197" spans="2:13" ht="37.5" thickBot="1" thickTop="1">
      <c r="B197" s="7">
        <v>192</v>
      </c>
      <c r="C197" s="5" t="s">
        <v>285</v>
      </c>
      <c r="D197" s="5" t="s">
        <v>274</v>
      </c>
      <c r="E197" s="9">
        <v>1</v>
      </c>
      <c r="F197" s="9">
        <v>1</v>
      </c>
      <c r="G197" s="11">
        <f>13355.727*E197*F197</f>
        <v>13355.727</v>
      </c>
      <c r="H197" s="11">
        <f>39432.858050304*E197*F197</f>
        <v>39432.858050304</v>
      </c>
      <c r="I197" s="11">
        <f aca="true" t="shared" si="22" ref="I197:I228">0*E197*F197</f>
        <v>0</v>
      </c>
      <c r="J197" s="11">
        <f>13382.438454*E197*F197</f>
        <v>13382.438454</v>
      </c>
      <c r="K197" s="11">
        <f>11579.929113253*E197*F197</f>
        <v>11579.929113253</v>
      </c>
      <c r="L197" s="15">
        <f t="shared" si="21"/>
        <v>777.50952617557</v>
      </c>
      <c r="M197" s="13">
        <f aca="true" t="shared" si="23" ref="M197:M260">SUM(G197:K197)</f>
        <v>77750.952617557</v>
      </c>
    </row>
    <row r="198" spans="2:13" ht="37.5" thickBot="1" thickTop="1">
      <c r="B198" s="7">
        <v>193</v>
      </c>
      <c r="C198" s="5" t="s">
        <v>286</v>
      </c>
      <c r="D198" s="5" t="s">
        <v>274</v>
      </c>
      <c r="E198" s="9">
        <v>1</v>
      </c>
      <c r="F198" s="9">
        <v>1</v>
      </c>
      <c r="G198" s="11">
        <f>19772.9630274*E198*F198</f>
        <v>19772.9630274</v>
      </c>
      <c r="H198" s="11">
        <f>49762.708876944*E198*F198</f>
        <v>49762.708876944</v>
      </c>
      <c r="I198" s="11">
        <f t="shared" si="22"/>
        <v>0</v>
      </c>
      <c r="J198" s="11">
        <f>19812.508953455*E198*F198</f>
        <v>19812.508953455</v>
      </c>
      <c r="K198" s="11">
        <f>15635.931650115*E198*F198</f>
        <v>15635.931650115</v>
      </c>
      <c r="L198" s="15">
        <f t="shared" si="21"/>
        <v>1049.8411250791398</v>
      </c>
      <c r="M198" s="13">
        <f t="shared" si="23"/>
        <v>104984.11250791399</v>
      </c>
    </row>
    <row r="199" spans="2:13" ht="37.5" thickBot="1" thickTop="1">
      <c r="B199" s="7">
        <v>194</v>
      </c>
      <c r="C199" s="5" t="s">
        <v>287</v>
      </c>
      <c r="D199" s="5" t="s">
        <v>274</v>
      </c>
      <c r="E199" s="9">
        <v>1</v>
      </c>
      <c r="F199" s="9">
        <v>1</v>
      </c>
      <c r="G199" s="11">
        <f>22631.0886054*E199*F199</f>
        <v>22631.0886054</v>
      </c>
      <c r="H199" s="11">
        <f>56677.052380968*E199*F199</f>
        <v>56677.052380968</v>
      </c>
      <c r="I199" s="11">
        <f t="shared" si="22"/>
        <v>0</v>
      </c>
      <c r="J199" s="11">
        <f>22676.350782611*E199*F199</f>
        <v>22676.350782611</v>
      </c>
      <c r="K199" s="11">
        <f>17847.286059571*E199*F199</f>
        <v>17847.286059571</v>
      </c>
      <c r="L199" s="15">
        <f t="shared" si="21"/>
        <v>1198.3177782855</v>
      </c>
      <c r="M199" s="13">
        <f t="shared" si="23"/>
        <v>119831.77782855</v>
      </c>
    </row>
    <row r="200" spans="2:13" ht="25.5" thickBot="1" thickTop="1">
      <c r="B200" s="7">
        <v>195</v>
      </c>
      <c r="C200" s="5" t="s">
        <v>288</v>
      </c>
      <c r="D200" s="5" t="s">
        <v>274</v>
      </c>
      <c r="E200" s="9">
        <v>1</v>
      </c>
      <c r="F200" s="9">
        <v>1</v>
      </c>
      <c r="G200" s="11">
        <f>15715.97795*E200*F200</f>
        <v>15715.97795</v>
      </c>
      <c r="H200" s="11">
        <f>61606.9419336*E200*F200</f>
        <v>61606.9419336</v>
      </c>
      <c r="I200" s="11">
        <f t="shared" si="22"/>
        <v>0</v>
      </c>
      <c r="J200" s="11">
        <f>15747.4099059*E200*F200</f>
        <v>15747.4099059</v>
      </c>
      <c r="K200" s="11">
        <f>16287.307713162*E200*F200</f>
        <v>16287.307713162</v>
      </c>
      <c r="L200" s="15">
        <f t="shared" si="21"/>
        <v>1093.5763750266199</v>
      </c>
      <c r="M200" s="13">
        <f t="shared" si="23"/>
        <v>109357.637502662</v>
      </c>
    </row>
    <row r="201" spans="2:13" ht="25.5" thickBot="1" thickTop="1">
      <c r="B201" s="7">
        <v>196</v>
      </c>
      <c r="C201" s="5" t="s">
        <v>289</v>
      </c>
      <c r="D201" s="5" t="s">
        <v>274</v>
      </c>
      <c r="E201" s="9">
        <v>1</v>
      </c>
      <c r="F201" s="9">
        <v>1</v>
      </c>
      <c r="G201" s="11">
        <f>15748.16084*E201*F201</f>
        <v>15748.16084</v>
      </c>
      <c r="H201" s="11">
        <f>87817.9778136*E201*F201</f>
        <v>87817.9778136</v>
      </c>
      <c r="I201" s="11">
        <f t="shared" si="22"/>
        <v>0</v>
      </c>
      <c r="J201" s="11">
        <f>15779.65716168*E201*F201</f>
        <v>15779.65716168</v>
      </c>
      <c r="K201" s="11">
        <f>20885.514267674*E201*F201</f>
        <v>20885.514267674</v>
      </c>
      <c r="L201" s="15">
        <f t="shared" si="21"/>
        <v>1402.31310082954</v>
      </c>
      <c r="M201" s="13">
        <f t="shared" si="23"/>
        <v>140231.310082954</v>
      </c>
    </row>
    <row r="202" spans="2:13" ht="37.5" thickBot="1" thickTop="1">
      <c r="B202" s="7">
        <v>197</v>
      </c>
      <c r="C202" s="5" t="s">
        <v>290</v>
      </c>
      <c r="D202" s="5" t="s">
        <v>202</v>
      </c>
      <c r="E202" s="9">
        <v>1</v>
      </c>
      <c r="F202" s="9">
        <v>1</v>
      </c>
      <c r="G202" s="11">
        <f>6913.5462*E202*F202</f>
        <v>6913.5462</v>
      </c>
      <c r="H202" s="11">
        <f>40842.37761768*E202*F202</f>
        <v>40842.37761768</v>
      </c>
      <c r="I202" s="11">
        <f t="shared" si="22"/>
        <v>0</v>
      </c>
      <c r="J202" s="11">
        <f>6927.3732924*E202*F202</f>
        <v>6927.3732924</v>
      </c>
      <c r="K202" s="11">
        <f>9569.576994264*E202*F202</f>
        <v>9569.576994264</v>
      </c>
      <c r="L202" s="15">
        <f t="shared" si="21"/>
        <v>642.5287410434399</v>
      </c>
      <c r="M202" s="13">
        <f t="shared" si="23"/>
        <v>64252.874104343995</v>
      </c>
    </row>
    <row r="203" spans="2:13" ht="37.5" thickBot="1" thickTop="1">
      <c r="B203" s="7">
        <v>198</v>
      </c>
      <c r="C203" s="5" t="s">
        <v>291</v>
      </c>
      <c r="D203" s="5" t="s">
        <v>202</v>
      </c>
      <c r="E203" s="9">
        <v>1</v>
      </c>
      <c r="F203" s="9">
        <v>1</v>
      </c>
      <c r="G203" s="11">
        <f>8408.367*E203*F203</f>
        <v>8408.367</v>
      </c>
      <c r="H203" s="11">
        <f>40842.37761768*E203*F203</f>
        <v>40842.37761768</v>
      </c>
      <c r="I203" s="11">
        <f t="shared" si="22"/>
        <v>0</v>
      </c>
      <c r="J203" s="11">
        <f>8425.183734*E203*F203</f>
        <v>8425.183734</v>
      </c>
      <c r="K203" s="11">
        <f>10093.287461544*E203*F203</f>
        <v>10093.287461544</v>
      </c>
      <c r="L203" s="15">
        <f t="shared" si="21"/>
        <v>677.69215813224</v>
      </c>
      <c r="M203" s="13">
        <f t="shared" si="23"/>
        <v>67769.215813224</v>
      </c>
    </row>
    <row r="204" spans="2:13" ht="13.5" thickBot="1" thickTop="1">
      <c r="B204" s="7">
        <v>199</v>
      </c>
      <c r="C204" s="5" t="s">
        <v>292</v>
      </c>
      <c r="D204" s="5" t="s">
        <v>293</v>
      </c>
      <c r="E204" s="9">
        <v>1</v>
      </c>
      <c r="F204" s="9">
        <v>1</v>
      </c>
      <c r="G204" s="11">
        <f>794.99*E204*F204</f>
        <v>794.99</v>
      </c>
      <c r="H204" s="11">
        <f>10296.815275944*E204*F204</f>
        <v>10296.815275944</v>
      </c>
      <c r="I204" s="11">
        <f t="shared" si="22"/>
        <v>0</v>
      </c>
      <c r="J204" s="11">
        <f>796.57998*E204*F204</f>
        <v>796.57998</v>
      </c>
      <c r="K204" s="11">
        <f>2080.4674197902*E204*F204</f>
        <v>2080.4674197902</v>
      </c>
      <c r="L204" s="15">
        <f t="shared" si="21"/>
        <v>139.688526757342</v>
      </c>
      <c r="M204" s="13">
        <f t="shared" si="23"/>
        <v>13968.8526757342</v>
      </c>
    </row>
    <row r="205" spans="2:13" ht="13.5" thickBot="1" thickTop="1">
      <c r="B205" s="7">
        <v>200</v>
      </c>
      <c r="C205" s="5" t="s">
        <v>294</v>
      </c>
      <c r="D205" s="5" t="s">
        <v>293</v>
      </c>
      <c r="E205" s="9">
        <v>1</v>
      </c>
      <c r="F205" s="9">
        <v>1</v>
      </c>
      <c r="G205" s="11">
        <f>1152.32*E205*F205</f>
        <v>1152.32</v>
      </c>
      <c r="H205" s="11">
        <f>23215.743315036*E205*F205</f>
        <v>23215.743315036</v>
      </c>
      <c r="I205" s="11">
        <f t="shared" si="22"/>
        <v>0</v>
      </c>
      <c r="J205" s="11">
        <f>1154.62464*E205*F205</f>
        <v>1154.62464</v>
      </c>
      <c r="K205" s="11">
        <f>4466.4703921313*E205*F205</f>
        <v>4466.4703921313</v>
      </c>
      <c r="L205" s="15">
        <f t="shared" si="21"/>
        <v>299.891583471673</v>
      </c>
      <c r="M205" s="13">
        <f t="shared" si="23"/>
        <v>29989.158347167304</v>
      </c>
    </row>
    <row r="206" spans="2:13" ht="13.5" thickBot="1" thickTop="1">
      <c r="B206" s="7">
        <v>201</v>
      </c>
      <c r="C206" s="5" t="s">
        <v>295</v>
      </c>
      <c r="D206" s="5" t="s">
        <v>293</v>
      </c>
      <c r="E206" s="9">
        <v>1</v>
      </c>
      <c r="F206" s="9">
        <v>1</v>
      </c>
      <c r="G206" s="11">
        <f>1966.7*E206*F206</f>
        <v>1966.7</v>
      </c>
      <c r="H206" s="11">
        <f>43180.451469*E206*F206</f>
        <v>43180.451469</v>
      </c>
      <c r="I206" s="11">
        <f t="shared" si="22"/>
        <v>0</v>
      </c>
      <c r="J206" s="11">
        <f>1970.6334*E206*F206</f>
        <v>1970.6334</v>
      </c>
      <c r="K206" s="11">
        <f>8245.612352075*E206*F206</f>
        <v>8245.612352075</v>
      </c>
      <c r="L206" s="15">
        <f t="shared" si="21"/>
        <v>553.6339722107499</v>
      </c>
      <c r="M206" s="13">
        <f t="shared" si="23"/>
        <v>55363.39722107499</v>
      </c>
    </row>
    <row r="207" spans="2:13" ht="37.5" thickBot="1" thickTop="1">
      <c r="B207" s="7">
        <v>202</v>
      </c>
      <c r="C207" s="5" t="s">
        <v>296</v>
      </c>
      <c r="D207" s="5" t="s">
        <v>297</v>
      </c>
      <c r="E207" s="9">
        <v>1</v>
      </c>
      <c r="F207" s="9">
        <v>1</v>
      </c>
      <c r="G207" s="11">
        <f>24.290838*E207*F207</f>
        <v>24.290838</v>
      </c>
      <c r="H207" s="11">
        <f>2.65493276928*E207*F207</f>
        <v>2.65493276928</v>
      </c>
      <c r="I207" s="11">
        <f t="shared" si="22"/>
        <v>0</v>
      </c>
      <c r="J207" s="11">
        <f>24.339419676*E207*F207</f>
        <v>24.339419676</v>
      </c>
      <c r="K207" s="11">
        <f>8.974908327924*E207*F207</f>
        <v>8.974908327924</v>
      </c>
      <c r="L207" s="15">
        <f>M207/F207/E207</f>
        <v>60.260098773204</v>
      </c>
      <c r="M207" s="13">
        <f t="shared" si="23"/>
        <v>60.260098773204</v>
      </c>
    </row>
    <row r="208" spans="2:13" ht="37.5" thickBot="1" thickTop="1">
      <c r="B208" s="7">
        <v>203</v>
      </c>
      <c r="C208" s="5" t="s">
        <v>298</v>
      </c>
      <c r="D208" s="5" t="s">
        <v>297</v>
      </c>
      <c r="E208" s="9">
        <v>1</v>
      </c>
      <c r="F208" s="9">
        <v>1</v>
      </c>
      <c r="G208" s="11">
        <f>24.290838*E208*F208</f>
        <v>24.290838</v>
      </c>
      <c r="H208" s="11">
        <f>5.55510617856*E208*F208</f>
        <v>5.55510617856</v>
      </c>
      <c r="I208" s="11">
        <f t="shared" si="22"/>
        <v>0</v>
      </c>
      <c r="J208" s="11">
        <f>24.339419676*E208*F208</f>
        <v>24.339419676</v>
      </c>
      <c r="K208" s="11">
        <f>9.482438674548*E208*F208</f>
        <v>9.482438674548</v>
      </c>
      <c r="L208" s="15">
        <f>M208/F208/E208</f>
        <v>63.667802529107995</v>
      </c>
      <c r="M208" s="13">
        <f t="shared" si="23"/>
        <v>63.667802529107995</v>
      </c>
    </row>
    <row r="209" spans="2:13" ht="37.5" thickBot="1" thickTop="1">
      <c r="B209" s="7">
        <v>204</v>
      </c>
      <c r="C209" s="5" t="s">
        <v>299</v>
      </c>
      <c r="D209" s="5" t="s">
        <v>297</v>
      </c>
      <c r="E209" s="9">
        <v>1</v>
      </c>
      <c r="F209" s="9">
        <v>1</v>
      </c>
      <c r="G209" s="11">
        <f>24.290838*E209*F209</f>
        <v>24.290838</v>
      </c>
      <c r="H209" s="11">
        <f>8.45527958784*E209*F209</f>
        <v>8.45527958784</v>
      </c>
      <c r="I209" s="11">
        <f t="shared" si="22"/>
        <v>0</v>
      </c>
      <c r="J209" s="11">
        <f>24.339419676*E209*F209</f>
        <v>24.339419676</v>
      </c>
      <c r="K209" s="11">
        <f>9.989969021172*E209*F209</f>
        <v>9.989969021172</v>
      </c>
      <c r="L209" s="15">
        <f>M209/F209/E209</f>
        <v>67.075506285012</v>
      </c>
      <c r="M209" s="13">
        <f t="shared" si="23"/>
        <v>67.075506285012</v>
      </c>
    </row>
    <row r="210" spans="2:13" ht="25.5" thickBot="1" thickTop="1">
      <c r="B210" s="7">
        <v>205</v>
      </c>
      <c r="C210" s="5" t="s">
        <v>300</v>
      </c>
      <c r="D210" s="5" t="s">
        <v>297</v>
      </c>
      <c r="E210" s="9">
        <v>1</v>
      </c>
      <c r="F210" s="9">
        <v>1</v>
      </c>
      <c r="G210" s="11">
        <f>24.290838*E210*F210</f>
        <v>24.290838</v>
      </c>
      <c r="H210" s="11">
        <f>6.1006608*E210*F210</f>
        <v>6.1006608</v>
      </c>
      <c r="I210" s="11">
        <f t="shared" si="22"/>
        <v>0</v>
      </c>
      <c r="J210" s="11">
        <f>24.339419676*E210*F210</f>
        <v>24.339419676</v>
      </c>
      <c r="K210" s="11">
        <f>9.5779107333*E210*F210</f>
        <v>9.5779107333</v>
      </c>
      <c r="L210" s="15">
        <f>M210/F210/E210</f>
        <v>64.3088292093</v>
      </c>
      <c r="M210" s="13">
        <f t="shared" si="23"/>
        <v>64.3088292093</v>
      </c>
    </row>
    <row r="211" spans="2:13" ht="25.5" thickBot="1" thickTop="1">
      <c r="B211" s="7">
        <v>206</v>
      </c>
      <c r="C211" s="5" t="s">
        <v>301</v>
      </c>
      <c r="D211" s="5" t="s">
        <v>302</v>
      </c>
      <c r="E211" s="9">
        <v>1</v>
      </c>
      <c r="F211" s="9">
        <v>1</v>
      </c>
      <c r="G211" s="11">
        <f>1893.23937*E211*F211</f>
        <v>1893.23937</v>
      </c>
      <c r="H211" s="11">
        <f>0*E211*F211</f>
        <v>0</v>
      </c>
      <c r="I211" s="11">
        <f t="shared" si="22"/>
        <v>0</v>
      </c>
      <c r="J211" s="11">
        <f>1897.02584874*E211*F211</f>
        <v>1897.02584874</v>
      </c>
      <c r="K211" s="11">
        <f>663.2964132795*E211*F211</f>
        <v>663.2964132795</v>
      </c>
      <c r="L211" s="15">
        <f>M211/F211/E211</f>
        <v>4453.5616320195</v>
      </c>
      <c r="M211" s="13">
        <f t="shared" si="23"/>
        <v>4453.5616320195</v>
      </c>
    </row>
    <row r="212" spans="2:13" ht="25.5" thickBot="1" thickTop="1">
      <c r="B212" s="7">
        <v>207</v>
      </c>
      <c r="C212" s="5" t="s">
        <v>303</v>
      </c>
      <c r="D212" s="5" t="s">
        <v>230</v>
      </c>
      <c r="E212" s="9">
        <v>1</v>
      </c>
      <c r="F212" s="9">
        <v>1</v>
      </c>
      <c r="G212" s="11">
        <f>17706.8133*E212*F212</f>
        <v>17706.8133</v>
      </c>
      <c r="H212" s="11">
        <f>272344.03334561*E212*F212</f>
        <v>272344.03334561</v>
      </c>
      <c r="I212" s="11">
        <f t="shared" si="22"/>
        <v>0</v>
      </c>
      <c r="J212" s="11">
        <f>17742.2269266*E212*F212</f>
        <v>17742.2269266</v>
      </c>
      <c r="K212" s="11">
        <f>53863.787875136*E212*F212</f>
        <v>53863.787875136</v>
      </c>
      <c r="L212" s="15">
        <f aca="true" t="shared" si="24" ref="L212:L238">M212/F212/E212/100</f>
        <v>3616.56861447346</v>
      </c>
      <c r="M212" s="13">
        <f t="shared" si="23"/>
        <v>361656.861447346</v>
      </c>
    </row>
    <row r="213" spans="2:13" ht="37.5" thickBot="1" thickTop="1">
      <c r="B213" s="7">
        <v>208</v>
      </c>
      <c r="C213" s="5" t="s">
        <v>304</v>
      </c>
      <c r="D213" s="5" t="s">
        <v>305</v>
      </c>
      <c r="E213" s="9">
        <v>1</v>
      </c>
      <c r="F213" s="9">
        <v>1</v>
      </c>
      <c r="G213" s="11">
        <f>7926.9562944*E213*F213</f>
        <v>7926.9562944</v>
      </c>
      <c r="H213" s="11">
        <f>1667.79217944*E213*F213</f>
        <v>1667.79217944</v>
      </c>
      <c r="I213" s="11">
        <f t="shared" si="22"/>
        <v>0</v>
      </c>
      <c r="J213" s="11">
        <f>7942.8102069888*E213*F213</f>
        <v>7942.8102069888</v>
      </c>
      <c r="K213" s="11">
        <f>3069.072769145*E213*F213</f>
        <v>3069.072769145</v>
      </c>
      <c r="L213" s="15">
        <f t="shared" si="24"/>
        <v>206.066314499738</v>
      </c>
      <c r="M213" s="13">
        <f t="shared" si="23"/>
        <v>20606.6314499738</v>
      </c>
    </row>
    <row r="214" spans="2:13" ht="37.5" thickBot="1" thickTop="1">
      <c r="B214" s="7">
        <v>209</v>
      </c>
      <c r="C214" s="5" t="s">
        <v>306</v>
      </c>
      <c r="D214" s="5" t="s">
        <v>305</v>
      </c>
      <c r="E214" s="9">
        <v>1</v>
      </c>
      <c r="F214" s="9">
        <v>1</v>
      </c>
      <c r="G214" s="11">
        <f>9079.1301744*E214*F214</f>
        <v>9079.1301744</v>
      </c>
      <c r="H214" s="11">
        <f>2197.802027808*E214*F214</f>
        <v>2197.802027808</v>
      </c>
      <c r="I214" s="11">
        <f t="shared" si="22"/>
        <v>0</v>
      </c>
      <c r="J214" s="11">
        <f>9097.2884347488*E214*F214</f>
        <v>9097.2884347488</v>
      </c>
      <c r="K214" s="11">
        <f>3565.4886114674*E214*F214</f>
        <v>3565.4886114674</v>
      </c>
      <c r="L214" s="15">
        <f t="shared" si="24"/>
        <v>239.39709248424202</v>
      </c>
      <c r="M214" s="13">
        <f t="shared" si="23"/>
        <v>23939.709248424202</v>
      </c>
    </row>
    <row r="215" spans="2:13" ht="25.5" thickBot="1" thickTop="1">
      <c r="B215" s="7">
        <v>210</v>
      </c>
      <c r="C215" s="5" t="s">
        <v>307</v>
      </c>
      <c r="D215" s="5" t="s">
        <v>102</v>
      </c>
      <c r="E215" s="9">
        <v>1</v>
      </c>
      <c r="F215" s="9">
        <v>1</v>
      </c>
      <c r="G215" s="11">
        <f>8689.3803*E215*F215</f>
        <v>8689.3803</v>
      </c>
      <c r="H215" s="11">
        <f>22877.0733762*E215*F215</f>
        <v>22877.0733762</v>
      </c>
      <c r="I215" s="11">
        <f t="shared" si="22"/>
        <v>0</v>
      </c>
      <c r="J215" s="11">
        <f>8706.7590606*E215*F215</f>
        <v>8706.7590606</v>
      </c>
      <c r="K215" s="11">
        <f>7047.81222894*E215*F215</f>
        <v>7047.81222894</v>
      </c>
      <c r="L215" s="15">
        <f t="shared" si="24"/>
        <v>473.21024965739997</v>
      </c>
      <c r="M215" s="13">
        <f t="shared" si="23"/>
        <v>47321.02496574</v>
      </c>
    </row>
    <row r="216" spans="2:13" ht="25.5" thickBot="1" thickTop="1">
      <c r="B216" s="7">
        <v>211</v>
      </c>
      <c r="C216" s="5" t="s">
        <v>308</v>
      </c>
      <c r="D216" s="5" t="s">
        <v>102</v>
      </c>
      <c r="E216" s="9">
        <v>1</v>
      </c>
      <c r="F216" s="9">
        <v>1</v>
      </c>
      <c r="G216" s="11">
        <f>11049.4589*E216*F216</f>
        <v>11049.4589</v>
      </c>
      <c r="H216" s="11">
        <f>41548.38201108*E216*F216</f>
        <v>41548.38201108</v>
      </c>
      <c r="I216" s="11">
        <f t="shared" si="22"/>
        <v>0</v>
      </c>
      <c r="J216" s="11">
        <f>11071.5578178*E216*F216</f>
        <v>11071.5578178</v>
      </c>
      <c r="K216" s="11">
        <f>11142.144777554*E216*F216</f>
        <v>11142.144777554</v>
      </c>
      <c r="L216" s="15">
        <f t="shared" si="24"/>
        <v>748.11543506434</v>
      </c>
      <c r="M216" s="13">
        <f t="shared" si="23"/>
        <v>74811.543506434</v>
      </c>
    </row>
    <row r="217" spans="2:13" ht="25.5" thickBot="1" thickTop="1">
      <c r="B217" s="7">
        <v>212</v>
      </c>
      <c r="C217" s="5" t="s">
        <v>309</v>
      </c>
      <c r="D217" s="5" t="s">
        <v>102</v>
      </c>
      <c r="E217" s="9">
        <v>1</v>
      </c>
      <c r="F217" s="9">
        <v>1</v>
      </c>
      <c r="G217" s="11">
        <f>14267.7479*E217*F217</f>
        <v>14267.7479</v>
      </c>
      <c r="H217" s="11">
        <f>86314.28707548*E217*F217</f>
        <v>86314.28707548</v>
      </c>
      <c r="I217" s="11">
        <f t="shared" si="22"/>
        <v>0</v>
      </c>
      <c r="J217" s="11">
        <f>14296.2833958*E217*F217</f>
        <v>14296.2833958</v>
      </c>
      <c r="K217" s="11">
        <f>20103.705714974*E217*F217</f>
        <v>20103.705714974</v>
      </c>
      <c r="L217" s="15">
        <f t="shared" si="24"/>
        <v>1349.82024086254</v>
      </c>
      <c r="M217" s="13">
        <f t="shared" si="23"/>
        <v>134982.024086254</v>
      </c>
    </row>
    <row r="218" spans="2:13" ht="13.5" thickBot="1" thickTop="1">
      <c r="B218" s="7">
        <v>213</v>
      </c>
      <c r="C218" s="5" t="s">
        <v>310</v>
      </c>
      <c r="D218" s="5" t="s">
        <v>102</v>
      </c>
      <c r="E218" s="9">
        <v>1</v>
      </c>
      <c r="F218" s="9">
        <v>1</v>
      </c>
      <c r="G218" s="11">
        <f>33041.1004*E218*F218</f>
        <v>33041.1004</v>
      </c>
      <c r="H218" s="11">
        <f>224264.22678*E218*F218</f>
        <v>224264.22678</v>
      </c>
      <c r="I218" s="11">
        <f t="shared" si="22"/>
        <v>0</v>
      </c>
      <c r="J218" s="11">
        <f>33107.1826008*E218*F218</f>
        <v>33107.1826008</v>
      </c>
      <c r="K218" s="11">
        <f>50822.18921164*E218*F218</f>
        <v>50822.18921164</v>
      </c>
      <c r="L218" s="15">
        <f t="shared" si="24"/>
        <v>3412.3469899243996</v>
      </c>
      <c r="M218" s="13">
        <f t="shared" si="23"/>
        <v>341234.69899243995</v>
      </c>
    </row>
    <row r="219" spans="2:13" ht="13.5" thickBot="1" thickTop="1">
      <c r="B219" s="7">
        <v>214</v>
      </c>
      <c r="C219" s="5" t="s">
        <v>311</v>
      </c>
      <c r="D219" s="5" t="s">
        <v>102</v>
      </c>
      <c r="E219" s="9">
        <v>1</v>
      </c>
      <c r="F219" s="9">
        <v>1</v>
      </c>
      <c r="G219" s="11">
        <f>45270.5986*E219*F219</f>
        <v>45270.5986</v>
      </c>
      <c r="H219" s="11">
        <f>480727.01898*E219*F219</f>
        <v>480727.01898</v>
      </c>
      <c r="I219" s="11">
        <f t="shared" si="22"/>
        <v>0</v>
      </c>
      <c r="J219" s="11">
        <f>45361.1397972*E219*F219</f>
        <v>45361.1397972</v>
      </c>
      <c r="K219" s="11">
        <f>99987.78254101*E219*F219</f>
        <v>99987.78254101</v>
      </c>
      <c r="L219" s="15">
        <f t="shared" si="24"/>
        <v>6713.465399182099</v>
      </c>
      <c r="M219" s="13">
        <f t="shared" si="23"/>
        <v>671346.5399182099</v>
      </c>
    </row>
    <row r="220" spans="2:13" ht="13.5" thickBot="1" thickTop="1">
      <c r="B220" s="7">
        <v>215</v>
      </c>
      <c r="C220" s="5" t="s">
        <v>312</v>
      </c>
      <c r="D220" s="5" t="s">
        <v>102</v>
      </c>
      <c r="E220" s="9">
        <v>1</v>
      </c>
      <c r="F220" s="9">
        <v>1</v>
      </c>
      <c r="G220" s="11">
        <f>58894.6887*E220*F220</f>
        <v>58894.6887</v>
      </c>
      <c r="H220" s="11">
        <f>921052.367748*E220*F220</f>
        <v>921052.367748</v>
      </c>
      <c r="I220" s="11">
        <f t="shared" si="22"/>
        <v>0</v>
      </c>
      <c r="J220" s="11">
        <f>59012.4780774*E220*F220</f>
        <v>59012.4780774</v>
      </c>
      <c r="K220" s="11">
        <f>181817.91854194*E220*F220</f>
        <v>181817.91854194</v>
      </c>
      <c r="L220" s="15">
        <f t="shared" si="24"/>
        <v>12207.7745306734</v>
      </c>
      <c r="M220" s="13">
        <f t="shared" si="23"/>
        <v>1220777.45306734</v>
      </c>
    </row>
    <row r="221" spans="2:13" ht="13.5" thickBot="1" thickTop="1">
      <c r="B221" s="7">
        <v>216</v>
      </c>
      <c r="C221" s="5" t="s">
        <v>313</v>
      </c>
      <c r="D221" s="5" t="s">
        <v>257</v>
      </c>
      <c r="E221" s="9">
        <v>1</v>
      </c>
      <c r="F221" s="9">
        <v>1</v>
      </c>
      <c r="G221" s="11">
        <f>1301.9*E221*F221</f>
        <v>1301.9</v>
      </c>
      <c r="H221" s="11">
        <f>559945.47195878*E221*F221</f>
        <v>559945.47195878</v>
      </c>
      <c r="I221" s="11">
        <f t="shared" si="22"/>
        <v>0</v>
      </c>
      <c r="J221" s="11">
        <f>1304.5038*E221*F221</f>
        <v>1304.5038</v>
      </c>
      <c r="K221" s="11">
        <f>98446.578257787*E221*F221</f>
        <v>98446.578257787</v>
      </c>
      <c r="L221" s="15">
        <f t="shared" si="24"/>
        <v>6609.984540165669</v>
      </c>
      <c r="M221" s="13">
        <f t="shared" si="23"/>
        <v>660998.454016567</v>
      </c>
    </row>
    <row r="222" spans="2:13" ht="37.5" thickBot="1" thickTop="1">
      <c r="B222" s="7">
        <v>217</v>
      </c>
      <c r="C222" s="5" t="s">
        <v>314</v>
      </c>
      <c r="D222" s="5" t="s">
        <v>274</v>
      </c>
      <c r="E222" s="9">
        <v>1</v>
      </c>
      <c r="F222" s="9">
        <v>1</v>
      </c>
      <c r="G222" s="11">
        <f>12549.73368*E222*F222</f>
        <v>12549.73368</v>
      </c>
      <c r="H222" s="11">
        <f>22628.1260664*E222*F222</f>
        <v>22628.1260664</v>
      </c>
      <c r="I222" s="11">
        <f t="shared" si="22"/>
        <v>0</v>
      </c>
      <c r="J222" s="11">
        <f>12574.83314736*E222*F222</f>
        <v>12574.83314736</v>
      </c>
      <c r="K222" s="11">
        <f>8356.721256408*E222*F222</f>
        <v>8356.721256408</v>
      </c>
      <c r="L222" s="15">
        <f t="shared" si="24"/>
        <v>561.09414150168</v>
      </c>
      <c r="M222" s="13">
        <f t="shared" si="23"/>
        <v>56109.414150168</v>
      </c>
    </row>
    <row r="223" spans="2:13" ht="37.5" thickBot="1" thickTop="1">
      <c r="B223" s="7">
        <v>218</v>
      </c>
      <c r="C223" s="5" t="s">
        <v>315</v>
      </c>
      <c r="D223" s="5" t="s">
        <v>274</v>
      </c>
      <c r="E223" s="9">
        <v>1</v>
      </c>
      <c r="F223" s="9">
        <v>1</v>
      </c>
      <c r="G223" s="11">
        <f>13301.85813*E223*F223</f>
        <v>13301.85813</v>
      </c>
      <c r="H223" s="11">
        <f>39163.70673432*E223*F223</f>
        <v>39163.70673432</v>
      </c>
      <c r="I223" s="11">
        <f t="shared" si="22"/>
        <v>0</v>
      </c>
      <c r="J223" s="11">
        <f>13328.46184626*E223*F223</f>
        <v>13328.46184626</v>
      </c>
      <c r="K223" s="11">
        <f>11513.954674352*E223*F223</f>
        <v>11513.954674352</v>
      </c>
      <c r="L223" s="15">
        <f t="shared" si="24"/>
        <v>773.0798138493201</v>
      </c>
      <c r="M223" s="13">
        <f t="shared" si="23"/>
        <v>77307.981384932</v>
      </c>
    </row>
    <row r="224" spans="2:13" ht="37.5" thickBot="1" thickTop="1">
      <c r="B224" s="7">
        <v>219</v>
      </c>
      <c r="C224" s="5" t="s">
        <v>316</v>
      </c>
      <c r="D224" s="5" t="s">
        <v>274</v>
      </c>
      <c r="E224" s="9">
        <v>1</v>
      </c>
      <c r="F224" s="9">
        <v>1</v>
      </c>
      <c r="G224" s="11">
        <f>12549.73368*E224*F224</f>
        <v>12549.73368</v>
      </c>
      <c r="H224" s="11">
        <f>22628.1260664*E224*F224</f>
        <v>22628.1260664</v>
      </c>
      <c r="I224" s="11">
        <f t="shared" si="22"/>
        <v>0</v>
      </c>
      <c r="J224" s="11">
        <f>12574.83314736*E224*F224</f>
        <v>12574.83314736</v>
      </c>
      <c r="K224" s="11">
        <f>8356.721256408*E224*F224</f>
        <v>8356.721256408</v>
      </c>
      <c r="L224" s="15">
        <f t="shared" si="24"/>
        <v>561.09414150168</v>
      </c>
      <c r="M224" s="13">
        <f t="shared" si="23"/>
        <v>56109.414150168</v>
      </c>
    </row>
    <row r="225" spans="2:13" ht="37.5" thickBot="1" thickTop="1">
      <c r="B225" s="7">
        <v>220</v>
      </c>
      <c r="C225" s="5" t="s">
        <v>317</v>
      </c>
      <c r="D225" s="5" t="s">
        <v>274</v>
      </c>
      <c r="E225" s="9">
        <v>1</v>
      </c>
      <c r="F225" s="9">
        <v>1</v>
      </c>
      <c r="G225" s="11">
        <f>13301.85813*E225*F225</f>
        <v>13301.85813</v>
      </c>
      <c r="H225" s="11">
        <f>39163.70673432*E225*F225</f>
        <v>39163.70673432</v>
      </c>
      <c r="I225" s="11">
        <f t="shared" si="22"/>
        <v>0</v>
      </c>
      <c r="J225" s="11">
        <f>13328.46184626*E225*F225</f>
        <v>13328.46184626</v>
      </c>
      <c r="K225" s="11">
        <f>11513.954674352*E225*F225</f>
        <v>11513.954674352</v>
      </c>
      <c r="L225" s="15">
        <f t="shared" si="24"/>
        <v>773.0798138493201</v>
      </c>
      <c r="M225" s="13">
        <f t="shared" si="23"/>
        <v>77307.981384932</v>
      </c>
    </row>
    <row r="226" spans="2:13" ht="37.5" thickBot="1" thickTop="1">
      <c r="B226" s="7">
        <v>221</v>
      </c>
      <c r="C226" s="5" t="s">
        <v>318</v>
      </c>
      <c r="D226" s="5" t="s">
        <v>274</v>
      </c>
      <c r="E226" s="9">
        <v>1</v>
      </c>
      <c r="F226" s="9">
        <v>1</v>
      </c>
      <c r="G226" s="11">
        <f>13274.143344*E226*F226</f>
        <v>13274.143344</v>
      </c>
      <c r="H226" s="11">
        <f>122115.40026006*E226*F226</f>
        <v>122115.40026006</v>
      </c>
      <c r="I226" s="11">
        <f t="shared" si="22"/>
        <v>0</v>
      </c>
      <c r="J226" s="11">
        <f>13300.691630688*E226*F226</f>
        <v>13300.691630688</v>
      </c>
      <c r="K226" s="11">
        <f>26020.791166081*E226*F226</f>
        <v>26020.791166081</v>
      </c>
      <c r="L226" s="15">
        <f t="shared" si="24"/>
        <v>1747.1102640082902</v>
      </c>
      <c r="M226" s="13">
        <f t="shared" si="23"/>
        <v>174711.02640082903</v>
      </c>
    </row>
    <row r="227" spans="2:13" ht="37.5" thickBot="1" thickTop="1">
      <c r="B227" s="7">
        <v>222</v>
      </c>
      <c r="C227" s="5" t="s">
        <v>319</v>
      </c>
      <c r="D227" s="5" t="s">
        <v>274</v>
      </c>
      <c r="E227" s="9">
        <v>1</v>
      </c>
      <c r="F227" s="9">
        <v>1</v>
      </c>
      <c r="G227" s="11">
        <f>47448.30816*E227*F227</f>
        <v>47448.30816</v>
      </c>
      <c r="H227" s="11">
        <f>150780.27358872*E227*F227</f>
        <v>150780.27358872</v>
      </c>
      <c r="I227" s="11">
        <f t="shared" si="22"/>
        <v>0</v>
      </c>
      <c r="J227" s="11">
        <f>47543.20477632*E227*F227</f>
        <v>47543.20477632</v>
      </c>
      <c r="K227" s="11">
        <f>43010.062641882*E227*F227</f>
        <v>43010.062641882</v>
      </c>
      <c r="L227" s="15">
        <f t="shared" si="24"/>
        <v>2887.8184916692203</v>
      </c>
      <c r="M227" s="13">
        <f t="shared" si="23"/>
        <v>288781.84916692204</v>
      </c>
    </row>
    <row r="228" spans="2:13" ht="37.5" thickBot="1" thickTop="1">
      <c r="B228" s="7">
        <v>223</v>
      </c>
      <c r="C228" s="5" t="s">
        <v>320</v>
      </c>
      <c r="D228" s="5" t="s">
        <v>274</v>
      </c>
      <c r="E228" s="9">
        <v>1</v>
      </c>
      <c r="F228" s="9">
        <v>1</v>
      </c>
      <c r="G228" s="11">
        <f>50177.44545*E228*F228</f>
        <v>50177.44545</v>
      </c>
      <c r="H228" s="11">
        <f>219254.83733923*E228*F228</f>
        <v>219254.83733923</v>
      </c>
      <c r="I228" s="11">
        <f t="shared" si="22"/>
        <v>0</v>
      </c>
      <c r="J228" s="11">
        <f>50277.8003409*E228*F228</f>
        <v>50277.8003409</v>
      </c>
      <c r="K228" s="11">
        <f>55949.264547773*E228*F228</f>
        <v>55949.264547773</v>
      </c>
      <c r="L228" s="15">
        <f t="shared" si="24"/>
        <v>3756.59347677903</v>
      </c>
      <c r="M228" s="13">
        <f t="shared" si="23"/>
        <v>375659.347677903</v>
      </c>
    </row>
    <row r="229" spans="2:13" ht="37.5" thickBot="1" thickTop="1">
      <c r="B229" s="7">
        <v>224</v>
      </c>
      <c r="C229" s="5" t="s">
        <v>321</v>
      </c>
      <c r="D229" s="5" t="s">
        <v>274</v>
      </c>
      <c r="E229" s="9">
        <v>1</v>
      </c>
      <c r="F229" s="9">
        <v>1</v>
      </c>
      <c r="G229" s="11">
        <f>72397.35063*E229*F229</f>
        <v>72397.35063</v>
      </c>
      <c r="H229" s="11">
        <f>320002.78445712*E229*F229</f>
        <v>320002.78445712</v>
      </c>
      <c r="I229" s="11">
        <f aca="true" t="shared" si="25" ref="I229:I260">0*E229*F229</f>
        <v>0</v>
      </c>
      <c r="J229" s="11">
        <f>72542.14533126*E229*F229</f>
        <v>72542.14533126</v>
      </c>
      <c r="K229" s="11">
        <f>81364.899073216*E229*F229</f>
        <v>81364.899073216</v>
      </c>
      <c r="L229" s="15">
        <f t="shared" si="24"/>
        <v>5463.07179491596</v>
      </c>
      <c r="M229" s="13">
        <f t="shared" si="23"/>
        <v>546307.179491596</v>
      </c>
    </row>
    <row r="230" spans="2:13" ht="25.5" thickBot="1" thickTop="1">
      <c r="B230" s="7">
        <v>225</v>
      </c>
      <c r="C230" s="5" t="s">
        <v>322</v>
      </c>
      <c r="D230" s="5" t="s">
        <v>323</v>
      </c>
      <c r="E230" s="9">
        <v>1</v>
      </c>
      <c r="F230" s="9">
        <v>1</v>
      </c>
      <c r="G230" s="11">
        <f>8595.2196*E230*F230</f>
        <v>8595.2196</v>
      </c>
      <c r="H230" s="11">
        <f>2485.0608813072*E230*F230</f>
        <v>2485.0608813072</v>
      </c>
      <c r="I230" s="11">
        <f t="shared" si="25"/>
        <v>0</v>
      </c>
      <c r="J230" s="11">
        <f>8612.4100392*E230*F230</f>
        <v>8612.4100392</v>
      </c>
      <c r="K230" s="11">
        <f>3446.2208410888*E230*F230</f>
        <v>3446.2208410888</v>
      </c>
      <c r="L230" s="15">
        <f t="shared" si="24"/>
        <v>231.38911361596</v>
      </c>
      <c r="M230" s="13">
        <f t="shared" si="23"/>
        <v>23138.911361596</v>
      </c>
    </row>
    <row r="231" spans="2:13" ht="25.5" thickBot="1" thickTop="1">
      <c r="B231" s="7">
        <v>226</v>
      </c>
      <c r="C231" s="5" t="s">
        <v>324</v>
      </c>
      <c r="D231" s="5" t="s">
        <v>323</v>
      </c>
      <c r="E231" s="9">
        <v>1</v>
      </c>
      <c r="F231" s="9">
        <v>1</v>
      </c>
      <c r="G231" s="11">
        <f>9716.3352*E231*F231</f>
        <v>9716.3352</v>
      </c>
      <c r="H231" s="11">
        <f>2740.5027588534*E231*F231</f>
        <v>2740.5027588534</v>
      </c>
      <c r="I231" s="11">
        <f t="shared" si="25"/>
        <v>0</v>
      </c>
      <c r="J231" s="11">
        <f>9735.7678704*E231*F231</f>
        <v>9735.7678704</v>
      </c>
      <c r="K231" s="11">
        <f>3883.7060201193*E231*F231</f>
        <v>3883.7060201193</v>
      </c>
      <c r="L231" s="15">
        <f t="shared" si="24"/>
        <v>260.763118493727</v>
      </c>
      <c r="M231" s="13">
        <f t="shared" si="23"/>
        <v>26076.3118493727</v>
      </c>
    </row>
    <row r="232" spans="2:13" ht="25.5" thickBot="1" thickTop="1">
      <c r="B232" s="7">
        <v>227</v>
      </c>
      <c r="C232" s="5" t="s">
        <v>325</v>
      </c>
      <c r="D232" s="5" t="s">
        <v>323</v>
      </c>
      <c r="E232" s="9">
        <v>1</v>
      </c>
      <c r="F232" s="9">
        <v>1</v>
      </c>
      <c r="G232" s="11">
        <f>10837.4508*E232*F232</f>
        <v>10837.4508</v>
      </c>
      <c r="H232" s="11">
        <f>4214.2077206283*E232*F232</f>
        <v>4214.2077206283</v>
      </c>
      <c r="I232" s="11">
        <f t="shared" si="25"/>
        <v>0</v>
      </c>
      <c r="J232" s="11">
        <f>10859.1257016*E232*F232</f>
        <v>10859.1257016</v>
      </c>
      <c r="K232" s="11">
        <f>4534.3872388899*E232*F232</f>
        <v>4534.3872388899</v>
      </c>
      <c r="L232" s="15">
        <f t="shared" si="24"/>
        <v>304.451714611182</v>
      </c>
      <c r="M232" s="13">
        <f t="shared" si="23"/>
        <v>30445.1714611182</v>
      </c>
    </row>
    <row r="233" spans="2:13" ht="25.5" thickBot="1" thickTop="1">
      <c r="B233" s="7">
        <v>228</v>
      </c>
      <c r="C233" s="5" t="s">
        <v>326</v>
      </c>
      <c r="D233" s="5" t="s">
        <v>323</v>
      </c>
      <c r="E233" s="9">
        <v>1</v>
      </c>
      <c r="F233" s="9">
        <v>1</v>
      </c>
      <c r="G233" s="11">
        <f>11958.5664*E233*F233</f>
        <v>11958.5664</v>
      </c>
      <c r="H233" s="11">
        <f>4541.3697974113*E233*F233</f>
        <v>4541.3697974113</v>
      </c>
      <c r="I233" s="11">
        <f t="shared" si="25"/>
        <v>0</v>
      </c>
      <c r="J233" s="11">
        <f>11982.4835328*E233*F233</f>
        <v>11982.4835328</v>
      </c>
      <c r="K233" s="11">
        <f>4984.423452787*E233*F233</f>
        <v>4984.423452787</v>
      </c>
      <c r="L233" s="15">
        <f t="shared" si="24"/>
        <v>334.66843182998304</v>
      </c>
      <c r="M233" s="13">
        <f t="shared" si="23"/>
        <v>33466.8431829983</v>
      </c>
    </row>
    <row r="234" spans="2:13" ht="25.5" thickBot="1" thickTop="1">
      <c r="B234" s="7">
        <v>229</v>
      </c>
      <c r="C234" s="5" t="s">
        <v>327</v>
      </c>
      <c r="D234" s="5" t="s">
        <v>98</v>
      </c>
      <c r="E234" s="9">
        <v>1</v>
      </c>
      <c r="F234" s="9">
        <v>1</v>
      </c>
      <c r="G234" s="11">
        <f>1887.21126*E234*F234</f>
        <v>1887.21126</v>
      </c>
      <c r="H234" s="11">
        <f>1144.2772692*E234*F234</f>
        <v>1144.2772692</v>
      </c>
      <c r="I234" s="11">
        <f t="shared" si="25"/>
        <v>0</v>
      </c>
      <c r="J234" s="11">
        <f>1890.98568252*E234*F234</f>
        <v>1890.98568252</v>
      </c>
      <c r="K234" s="11">
        <f>861.432987051*E234*F234</f>
        <v>861.432987051</v>
      </c>
      <c r="L234" s="15">
        <f t="shared" si="24"/>
        <v>57.83907198771001</v>
      </c>
      <c r="M234" s="13">
        <f t="shared" si="23"/>
        <v>5783.907198771</v>
      </c>
    </row>
    <row r="235" spans="2:13" ht="25.5" thickBot="1" thickTop="1">
      <c r="B235" s="7">
        <v>230</v>
      </c>
      <c r="C235" s="5" t="s">
        <v>328</v>
      </c>
      <c r="D235" s="5" t="s">
        <v>329</v>
      </c>
      <c r="E235" s="9">
        <v>1</v>
      </c>
      <c r="F235" s="9">
        <v>1</v>
      </c>
      <c r="G235" s="11">
        <f>5792.4306*E235*F235</f>
        <v>5792.4306</v>
      </c>
      <c r="H235" s="11">
        <f>111676.145544*E235*F235</f>
        <v>111676.145544</v>
      </c>
      <c r="I235" s="11">
        <f t="shared" si="25"/>
        <v>0</v>
      </c>
      <c r="J235" s="11">
        <f>5804.0154612*E235*F235</f>
        <v>5804.0154612</v>
      </c>
      <c r="K235" s="11">
        <f>21572.70353091*E235*F235</f>
        <v>21572.70353091</v>
      </c>
      <c r="L235" s="15">
        <f t="shared" si="24"/>
        <v>1448.4529513610998</v>
      </c>
      <c r="M235" s="13">
        <f t="shared" si="23"/>
        <v>144845.29513610998</v>
      </c>
    </row>
    <row r="236" spans="2:13" ht="13.5" thickBot="1" thickTop="1">
      <c r="B236" s="7">
        <v>231</v>
      </c>
      <c r="C236" s="5" t="s">
        <v>330</v>
      </c>
      <c r="D236" s="5" t="s">
        <v>331</v>
      </c>
      <c r="E236" s="9">
        <v>1</v>
      </c>
      <c r="F236" s="9">
        <v>1</v>
      </c>
      <c r="G236" s="11">
        <f>13079.682*E236*F236</f>
        <v>13079.682</v>
      </c>
      <c r="H236" s="11">
        <f>77935.205934432*E236*F236</f>
        <v>77935.205934432</v>
      </c>
      <c r="I236" s="11">
        <f t="shared" si="25"/>
        <v>0</v>
      </c>
      <c r="J236" s="11">
        <f>13105.841364*E236*F236</f>
        <v>13105.841364</v>
      </c>
      <c r="K236" s="11">
        <f>18221.127627226*E236*F236</f>
        <v>18221.127627226</v>
      </c>
      <c r="L236" s="15">
        <f t="shared" si="24"/>
        <v>1223.41856925658</v>
      </c>
      <c r="M236" s="13">
        <f t="shared" si="23"/>
        <v>122341.85692565801</v>
      </c>
    </row>
    <row r="237" spans="2:13" ht="13.5" thickBot="1" thickTop="1">
      <c r="B237" s="7">
        <v>232</v>
      </c>
      <c r="C237" s="5" t="s">
        <v>332</v>
      </c>
      <c r="D237" s="5" t="s">
        <v>331</v>
      </c>
      <c r="E237" s="9">
        <v>1</v>
      </c>
      <c r="F237" s="9">
        <v>1</v>
      </c>
      <c r="G237" s="11">
        <f>16816.734*E237*F237</f>
        <v>16816.734</v>
      </c>
      <c r="H237" s="11">
        <f>119286.82193443*E237*F237</f>
        <v>119286.82193443</v>
      </c>
      <c r="I237" s="11">
        <f t="shared" si="25"/>
        <v>0</v>
      </c>
      <c r="J237" s="11">
        <f>16850.367468*E237*F237</f>
        <v>16850.367468</v>
      </c>
      <c r="K237" s="11">
        <f>26766.936595426*E237*F237</f>
        <v>26766.936595426</v>
      </c>
      <c r="L237" s="15">
        <f t="shared" si="24"/>
        <v>1797.2085999785602</v>
      </c>
      <c r="M237" s="13">
        <f t="shared" si="23"/>
        <v>179720.85999785602</v>
      </c>
    </row>
    <row r="238" spans="2:13" ht="25.5" thickBot="1" thickTop="1">
      <c r="B238" s="7">
        <v>233</v>
      </c>
      <c r="C238" s="5" t="s">
        <v>333</v>
      </c>
      <c r="D238" s="5" t="s">
        <v>334</v>
      </c>
      <c r="E238" s="9">
        <v>1</v>
      </c>
      <c r="F238" s="9">
        <v>1</v>
      </c>
      <c r="G238" s="11">
        <f>9903.1878*E238*F238</f>
        <v>9903.1878</v>
      </c>
      <c r="H238" s="11">
        <f>3923.0155026*E238*F238</f>
        <v>3923.0155026</v>
      </c>
      <c r="I238" s="11">
        <f t="shared" si="25"/>
        <v>0</v>
      </c>
      <c r="J238" s="11">
        <f>9922.9941756*E238*F238</f>
        <v>9922.9941756</v>
      </c>
      <c r="K238" s="11">
        <f>4156.109558685*E238*F238</f>
        <v>4156.109558685</v>
      </c>
      <c r="L238" s="15">
        <f t="shared" si="24"/>
        <v>279.05307036885</v>
      </c>
      <c r="M238" s="13">
        <f t="shared" si="23"/>
        <v>27905.307036885</v>
      </c>
    </row>
    <row r="239" spans="2:13" ht="37.5" thickBot="1" thickTop="1">
      <c r="B239" s="7">
        <v>234</v>
      </c>
      <c r="C239" s="5" t="s">
        <v>335</v>
      </c>
      <c r="D239" s="5" t="s">
        <v>336</v>
      </c>
      <c r="E239" s="9">
        <v>1</v>
      </c>
      <c r="F239" s="9">
        <v>1</v>
      </c>
      <c r="G239" s="11">
        <f>61.661358*E239*F239</f>
        <v>61.661358</v>
      </c>
      <c r="H239" s="11">
        <f>0*E239*F239</f>
        <v>0</v>
      </c>
      <c r="I239" s="11">
        <f t="shared" si="25"/>
        <v>0</v>
      </c>
      <c r="J239" s="11">
        <f>61.784680716*E239*F239</f>
        <v>61.784680716</v>
      </c>
      <c r="K239" s="11">
        <f>21.6030567753*E239*F239</f>
        <v>21.6030567753</v>
      </c>
      <c r="L239" s="15">
        <f>M239/F239/E239</f>
        <v>145.0490954913</v>
      </c>
      <c r="M239" s="13">
        <f t="shared" si="23"/>
        <v>145.0490954913</v>
      </c>
    </row>
    <row r="240" spans="2:13" ht="37.5" thickBot="1" thickTop="1">
      <c r="B240" s="7">
        <v>235</v>
      </c>
      <c r="C240" s="5" t="s">
        <v>337</v>
      </c>
      <c r="D240" s="5" t="s">
        <v>336</v>
      </c>
      <c r="E240" s="9">
        <v>1</v>
      </c>
      <c r="F240" s="9">
        <v>1</v>
      </c>
      <c r="G240" s="11">
        <f>80.346618*E240*F240</f>
        <v>80.346618</v>
      </c>
      <c r="H240" s="11">
        <f>0*E240*F240</f>
        <v>0</v>
      </c>
      <c r="I240" s="11">
        <f t="shared" si="25"/>
        <v>0</v>
      </c>
      <c r="J240" s="11">
        <f>80.507311236*E240*F240</f>
        <v>80.507311236</v>
      </c>
      <c r="K240" s="11">
        <f>28.1494376163*E240*F240</f>
        <v>28.1494376163</v>
      </c>
      <c r="L240" s="15">
        <f>M240/F240/E240</f>
        <v>189.0033668523</v>
      </c>
      <c r="M240" s="13">
        <f t="shared" si="23"/>
        <v>189.0033668523</v>
      </c>
    </row>
    <row r="241" spans="2:13" ht="37.5" thickBot="1" thickTop="1">
      <c r="B241" s="7">
        <v>236</v>
      </c>
      <c r="C241" s="5" t="s">
        <v>338</v>
      </c>
      <c r="D241" s="5" t="s">
        <v>336</v>
      </c>
      <c r="E241" s="9">
        <v>1</v>
      </c>
      <c r="F241" s="9">
        <v>1</v>
      </c>
      <c r="G241" s="11">
        <f>97.163352*E241*F241</f>
        <v>97.163352</v>
      </c>
      <c r="H241" s="11">
        <f>0*E241*F241</f>
        <v>0</v>
      </c>
      <c r="I241" s="11">
        <f t="shared" si="25"/>
        <v>0</v>
      </c>
      <c r="J241" s="11">
        <f>97.357678704*E241*F241</f>
        <v>97.357678704</v>
      </c>
      <c r="K241" s="11">
        <f>34.0411803732*E241*F241</f>
        <v>34.0411803732</v>
      </c>
      <c r="L241" s="15">
        <f>M241/F241/E241</f>
        <v>228.5622110772</v>
      </c>
      <c r="M241" s="13">
        <f t="shared" si="23"/>
        <v>228.5622110772</v>
      </c>
    </row>
    <row r="242" spans="2:13" ht="37.5" thickBot="1" thickTop="1">
      <c r="B242" s="7">
        <v>237</v>
      </c>
      <c r="C242" s="5" t="s">
        <v>339</v>
      </c>
      <c r="D242" s="5" t="s">
        <v>305</v>
      </c>
      <c r="E242" s="9">
        <v>1</v>
      </c>
      <c r="F242" s="9">
        <v>1</v>
      </c>
      <c r="G242" s="11">
        <f>11122.90938*E242*F242</f>
        <v>11122.90938</v>
      </c>
      <c r="H242" s="11">
        <f>2297.62904184*E242*F242</f>
        <v>2297.62904184</v>
      </c>
      <c r="I242" s="11">
        <f t="shared" si="25"/>
        <v>0</v>
      </c>
      <c r="J242" s="11">
        <f>11145.15519876*E242*F242</f>
        <v>11145.15519876</v>
      </c>
      <c r="K242" s="11">
        <f>4298.996383605*E242*F242</f>
        <v>4298.996383605</v>
      </c>
      <c r="L242" s="15">
        <f>M242/F242/E242/100</f>
        <v>288.64690004205</v>
      </c>
      <c r="M242" s="13">
        <f t="shared" si="23"/>
        <v>28864.690004205</v>
      </c>
    </row>
    <row r="243" spans="2:13" ht="37.5" thickBot="1" thickTop="1">
      <c r="B243" s="7">
        <v>238</v>
      </c>
      <c r="C243" s="5" t="s">
        <v>340</v>
      </c>
      <c r="D243" s="5" t="s">
        <v>305</v>
      </c>
      <c r="E243" s="9">
        <v>1</v>
      </c>
      <c r="F243" s="9">
        <v>1</v>
      </c>
      <c r="G243" s="11">
        <f>14286.956112*E243*F243</f>
        <v>14286.956112</v>
      </c>
      <c r="H243" s="11">
        <f>3614.934968208*E243*F243</f>
        <v>3614.934968208</v>
      </c>
      <c r="I243" s="11">
        <f t="shared" si="25"/>
        <v>0</v>
      </c>
      <c r="J243" s="11">
        <f>14315.530024224*E243*F243</f>
        <v>14315.530024224</v>
      </c>
      <c r="K243" s="11">
        <f>5638.0486932756*E243*F243</f>
        <v>5638.0486932756</v>
      </c>
      <c r="L243" s="15">
        <f>M243/F243/E243/100</f>
        <v>378.554697977076</v>
      </c>
      <c r="M243" s="13">
        <f t="shared" si="23"/>
        <v>37855.4697977076</v>
      </c>
    </row>
    <row r="244" spans="2:13" ht="37.5" thickBot="1" thickTop="1">
      <c r="B244" s="7">
        <v>239</v>
      </c>
      <c r="C244" s="5" t="s">
        <v>341</v>
      </c>
      <c r="D244" s="5" t="s">
        <v>305</v>
      </c>
      <c r="E244" s="9">
        <v>1</v>
      </c>
      <c r="F244" s="9">
        <v>1</v>
      </c>
      <c r="G244" s="11">
        <f>15103.58388*E244*F244</f>
        <v>15103.58388</v>
      </c>
      <c r="H244" s="11">
        <f>2559.438629568*E244*F244</f>
        <v>2559.438629568</v>
      </c>
      <c r="I244" s="11">
        <f t="shared" si="25"/>
        <v>0</v>
      </c>
      <c r="J244" s="11">
        <f>15133.79104776*E244*F244</f>
        <v>15133.79104776</v>
      </c>
      <c r="K244" s="11">
        <f>5739.4423725324*E244*F244</f>
        <v>5739.4423725324</v>
      </c>
      <c r="L244" s="15">
        <f>M244/F244/E244/100</f>
        <v>385.362559298604</v>
      </c>
      <c r="M244" s="13">
        <f t="shared" si="23"/>
        <v>38536.2559298604</v>
      </c>
    </row>
    <row r="245" spans="2:13" ht="37.5" thickBot="1" thickTop="1">
      <c r="B245" s="7">
        <v>240</v>
      </c>
      <c r="C245" s="5" t="s">
        <v>342</v>
      </c>
      <c r="D245" s="5" t="s">
        <v>305</v>
      </c>
      <c r="E245" s="9">
        <v>1</v>
      </c>
      <c r="F245" s="9">
        <v>1</v>
      </c>
      <c r="G245" s="11">
        <f>18455.719524*E245*F245</f>
        <v>18455.719524</v>
      </c>
      <c r="H245" s="11">
        <f>3868.486568208*E245*F245</f>
        <v>3868.486568208</v>
      </c>
      <c r="I245" s="11">
        <f t="shared" si="25"/>
        <v>0</v>
      </c>
      <c r="J245" s="11">
        <f>18492.630963048*E245*F245</f>
        <v>18492.630963048</v>
      </c>
      <c r="K245" s="11">
        <f>7142.9464846698*E245*F245</f>
        <v>7142.9464846698</v>
      </c>
      <c r="L245" s="15">
        <f>M245/F245/E245/100</f>
        <v>479.597835399258</v>
      </c>
      <c r="M245" s="13">
        <f t="shared" si="23"/>
        <v>47959.7835399258</v>
      </c>
    </row>
    <row r="246" spans="2:13" ht="25.5" thickBot="1" thickTop="1">
      <c r="B246" s="7">
        <v>241</v>
      </c>
      <c r="C246" s="5" t="s">
        <v>343</v>
      </c>
      <c r="D246" s="5" t="s">
        <v>344</v>
      </c>
      <c r="E246" s="9">
        <v>1</v>
      </c>
      <c r="F246" s="9">
        <v>1</v>
      </c>
      <c r="G246" s="11">
        <f>82.215144*E246*F246</f>
        <v>82.215144</v>
      </c>
      <c r="H246" s="11">
        <f>162.87768*E246*F246</f>
        <v>162.87768</v>
      </c>
      <c r="I246" s="11">
        <f t="shared" si="25"/>
        <v>0</v>
      </c>
      <c r="J246" s="11">
        <f>82.379574288*E246*F246</f>
        <v>82.379574288</v>
      </c>
      <c r="K246" s="11">
        <f>57.3076697004*E246*F246</f>
        <v>57.3076697004</v>
      </c>
      <c r="L246" s="15">
        <f>M246/F246/E246</f>
        <v>384.7800679884</v>
      </c>
      <c r="M246" s="13">
        <f t="shared" si="23"/>
        <v>384.7800679884</v>
      </c>
    </row>
    <row r="247" spans="2:13" ht="25.5" thickBot="1" thickTop="1">
      <c r="B247" s="7">
        <v>242</v>
      </c>
      <c r="C247" s="5" t="s">
        <v>345</v>
      </c>
      <c r="D247" s="5" t="s">
        <v>346</v>
      </c>
      <c r="E247" s="9">
        <v>1</v>
      </c>
      <c r="F247" s="9">
        <v>1</v>
      </c>
      <c r="G247" s="11">
        <f>82.6694*E247*F247</f>
        <v>82.6694</v>
      </c>
      <c r="H247" s="11">
        <f>3284.04096*E247*F247</f>
        <v>3284.04096</v>
      </c>
      <c r="I247" s="11">
        <f t="shared" si="25"/>
        <v>0</v>
      </c>
      <c r="J247" s="11">
        <f>82.8347388*E247*F247</f>
        <v>82.8347388</v>
      </c>
      <c r="K247" s="11">
        <f>603.67039229*E247*F247</f>
        <v>603.67039229</v>
      </c>
      <c r="L247" s="15">
        <f aca="true" t="shared" si="26" ref="L247:L259">M247/F247/E247</f>
        <v>4053.2154910900003</v>
      </c>
      <c r="M247" s="13">
        <f t="shared" si="23"/>
        <v>4053.2154910900003</v>
      </c>
    </row>
    <row r="248" spans="2:13" ht="13.5" thickBot="1" thickTop="1">
      <c r="B248" s="7">
        <v>243</v>
      </c>
      <c r="C248" s="5" t="s">
        <v>347</v>
      </c>
      <c r="D248" s="5" t="s">
        <v>348</v>
      </c>
      <c r="E248" s="9">
        <v>1</v>
      </c>
      <c r="F248" s="9">
        <v>1</v>
      </c>
      <c r="G248" s="11">
        <f>46.71315*E248*F248</f>
        <v>46.71315</v>
      </c>
      <c r="H248" s="11">
        <f>6679.1844*E248*F248</f>
        <v>6679.1844</v>
      </c>
      <c r="I248" s="11">
        <f t="shared" si="25"/>
        <v>0</v>
      </c>
      <c r="J248" s="11">
        <f>46.8065763*E248*F248</f>
        <v>46.8065763</v>
      </c>
      <c r="K248" s="11">
        <f>1185.2232221025*E248*F248</f>
        <v>1185.2232221025</v>
      </c>
      <c r="L248" s="15">
        <f t="shared" si="26"/>
        <v>7957.9273484025</v>
      </c>
      <c r="M248" s="13">
        <f t="shared" si="23"/>
        <v>7957.9273484025</v>
      </c>
    </row>
    <row r="249" spans="2:13" ht="13.5" thickBot="1" thickTop="1">
      <c r="B249" s="7">
        <v>244</v>
      </c>
      <c r="C249" s="5" t="s">
        <v>349</v>
      </c>
      <c r="D249" s="5" t="s">
        <v>350</v>
      </c>
      <c r="E249" s="9">
        <v>1</v>
      </c>
      <c r="F249" s="9">
        <v>1</v>
      </c>
      <c r="G249" s="11">
        <f>14.948208*E249*F249</f>
        <v>14.948208</v>
      </c>
      <c r="H249" s="11">
        <f>1085.925456*E249*F249</f>
        <v>1085.925456</v>
      </c>
      <c r="I249" s="11">
        <f t="shared" si="25"/>
        <v>0</v>
      </c>
      <c r="J249" s="11">
        <f>14.978104416*E249*F249</f>
        <v>14.978104416</v>
      </c>
      <c r="K249" s="11">
        <f>195.2740594728*E249*F249</f>
        <v>195.2740594728</v>
      </c>
      <c r="L249" s="15">
        <f t="shared" si="26"/>
        <v>1311.1258278888</v>
      </c>
      <c r="M249" s="13">
        <f t="shared" si="23"/>
        <v>1311.1258278888</v>
      </c>
    </row>
    <row r="250" spans="2:13" ht="13.5" thickBot="1" thickTop="1">
      <c r="B250" s="7">
        <v>245</v>
      </c>
      <c r="C250" s="5" t="s">
        <v>351</v>
      </c>
      <c r="D250" s="5" t="s">
        <v>352</v>
      </c>
      <c r="E250" s="9">
        <v>1</v>
      </c>
      <c r="F250" s="9">
        <v>1</v>
      </c>
      <c r="G250" s="11">
        <f>82.215144*E250*F250</f>
        <v>82.215144</v>
      </c>
      <c r="H250" s="11">
        <f>183.37968*E250*F250</f>
        <v>183.37968</v>
      </c>
      <c r="I250" s="11">
        <f t="shared" si="25"/>
        <v>0</v>
      </c>
      <c r="J250" s="11">
        <f>82.379574288*E250*F250</f>
        <v>82.379574288</v>
      </c>
      <c r="K250" s="11">
        <f>60.8955197004*E250*F250</f>
        <v>60.8955197004</v>
      </c>
      <c r="L250" s="15">
        <f t="shared" si="26"/>
        <v>408.86991798840006</v>
      </c>
      <c r="M250" s="13">
        <f t="shared" si="23"/>
        <v>408.86991798840006</v>
      </c>
    </row>
    <row r="251" spans="2:13" ht="13.5" thickBot="1" thickTop="1">
      <c r="B251" s="7">
        <v>246</v>
      </c>
      <c r="C251" s="5" t="s">
        <v>353</v>
      </c>
      <c r="D251" s="5" t="s">
        <v>354</v>
      </c>
      <c r="E251" s="9">
        <v>1</v>
      </c>
      <c r="F251" s="9">
        <v>1</v>
      </c>
      <c r="G251" s="11">
        <f>130.79682*E251*F251</f>
        <v>130.79682</v>
      </c>
      <c r="H251" s="11">
        <f>3466.33128*E251*F251</f>
        <v>3466.33128</v>
      </c>
      <c r="I251" s="11">
        <f t="shared" si="25"/>
        <v>0</v>
      </c>
      <c r="J251" s="11">
        <f>131.05841364*E251*F251</f>
        <v>131.05841364</v>
      </c>
      <c r="K251" s="11">
        <f>652.432639887*E251*F251</f>
        <v>652.432639887</v>
      </c>
      <c r="L251" s="15">
        <f t="shared" si="26"/>
        <v>4380.619153527</v>
      </c>
      <c r="M251" s="13">
        <f t="shared" si="23"/>
        <v>4380.619153527</v>
      </c>
    </row>
    <row r="252" spans="2:13" ht="13.5" thickBot="1" thickTop="1">
      <c r="B252" s="7">
        <v>247</v>
      </c>
      <c r="C252" s="5" t="s">
        <v>355</v>
      </c>
      <c r="D252" s="5" t="s">
        <v>354</v>
      </c>
      <c r="E252" s="9">
        <v>1</v>
      </c>
      <c r="F252" s="9">
        <v>1</v>
      </c>
      <c r="G252" s="11">
        <f>70.9709*E252*F252</f>
        <v>70.9709</v>
      </c>
      <c r="H252" s="11">
        <f>0*E252*F252</f>
        <v>0</v>
      </c>
      <c r="I252" s="11">
        <f t="shared" si="25"/>
        <v>0</v>
      </c>
      <c r="J252" s="11">
        <f>71.1128418*E252*F252</f>
        <v>71.1128418</v>
      </c>
      <c r="K252" s="11">
        <f>24.864654815*E252*F252</f>
        <v>24.864654815</v>
      </c>
      <c r="L252" s="15">
        <f t="shared" si="26"/>
        <v>166.94839661499998</v>
      </c>
      <c r="M252" s="13">
        <f t="shared" si="23"/>
        <v>166.94839661499998</v>
      </c>
    </row>
    <row r="253" spans="2:13" ht="13.5" thickBot="1" thickTop="1">
      <c r="B253" s="7">
        <v>248</v>
      </c>
      <c r="C253" s="5" t="s">
        <v>356</v>
      </c>
      <c r="D253" s="5" t="s">
        <v>357</v>
      </c>
      <c r="E253" s="9">
        <v>1</v>
      </c>
      <c r="F253" s="9">
        <v>1</v>
      </c>
      <c r="G253" s="11">
        <f>237.0896*E253*F253</f>
        <v>237.0896</v>
      </c>
      <c r="H253" s="11">
        <f>41649.254922708*E253*F253</f>
        <v>41649.254922708</v>
      </c>
      <c r="I253" s="11">
        <f t="shared" si="25"/>
        <v>0</v>
      </c>
      <c r="J253" s="11">
        <f>237.5637792*E253*F253</f>
        <v>237.5637792</v>
      </c>
      <c r="K253" s="11">
        <f>7371.6839528339*E253*F253</f>
        <v>7371.6839528339</v>
      </c>
      <c r="L253" s="15">
        <f t="shared" si="26"/>
        <v>49495.592254741896</v>
      </c>
      <c r="M253" s="13">
        <f t="shared" si="23"/>
        <v>49495.592254741896</v>
      </c>
    </row>
    <row r="254" spans="2:13" ht="13.5" thickBot="1" thickTop="1">
      <c r="B254" s="7">
        <v>249</v>
      </c>
      <c r="C254" s="5" t="s">
        <v>358</v>
      </c>
      <c r="D254" s="5" t="s">
        <v>359</v>
      </c>
      <c r="E254" s="9">
        <v>1</v>
      </c>
      <c r="F254" s="9">
        <v>1</v>
      </c>
      <c r="G254" s="11">
        <f>317.64942*E254*F254</f>
        <v>317.64942</v>
      </c>
      <c r="H254" s="11">
        <f>96.4537815384*E254*F254</f>
        <v>96.4537815384</v>
      </c>
      <c r="I254" s="11">
        <f t="shared" si="25"/>
        <v>0</v>
      </c>
      <c r="J254" s="11">
        <f>318.28471884*E254*F254</f>
        <v>318.28471884</v>
      </c>
      <c r="K254" s="11">
        <f>128.16788606622*E254*F254</f>
        <v>128.16788606622</v>
      </c>
      <c r="L254" s="15">
        <f t="shared" si="26"/>
        <v>860.55580644462</v>
      </c>
      <c r="M254" s="13">
        <f t="shared" si="23"/>
        <v>860.55580644462</v>
      </c>
    </row>
    <row r="255" spans="2:13" ht="25.5" thickBot="1" thickTop="1">
      <c r="B255" s="7">
        <v>250</v>
      </c>
      <c r="C255" s="5" t="s">
        <v>360</v>
      </c>
      <c r="D255" s="5" t="s">
        <v>361</v>
      </c>
      <c r="E255" s="9">
        <v>1</v>
      </c>
      <c r="F255" s="9">
        <v>1</v>
      </c>
      <c r="G255" s="11">
        <f>168.16734*E255*F255</f>
        <v>168.16734</v>
      </c>
      <c r="H255" s="11">
        <f>1.5192666216*E255*F255</f>
        <v>1.5192666216</v>
      </c>
      <c r="I255" s="11">
        <f t="shared" si="25"/>
        <v>0</v>
      </c>
      <c r="J255" s="11">
        <f>168.50367468*E255*F255</f>
        <v>168.50367468</v>
      </c>
      <c r="K255" s="11">
        <f>59.18329922778*E255*F255</f>
        <v>59.18329922778</v>
      </c>
      <c r="L255" s="15">
        <f t="shared" si="26"/>
        <v>397.37358052938</v>
      </c>
      <c r="M255" s="13">
        <f t="shared" si="23"/>
        <v>397.37358052938</v>
      </c>
    </row>
    <row r="256" spans="2:13" ht="25.5" thickBot="1" thickTop="1">
      <c r="B256" s="7">
        <v>251</v>
      </c>
      <c r="C256" s="5" t="s">
        <v>362</v>
      </c>
      <c r="D256" s="5" t="s">
        <v>361</v>
      </c>
      <c r="E256" s="9">
        <v>1</v>
      </c>
      <c r="F256" s="9">
        <v>1</v>
      </c>
      <c r="G256" s="11">
        <f>356.888466*E256*F256</f>
        <v>356.888466</v>
      </c>
      <c r="H256" s="11">
        <f>9346.98960396*E256*F256</f>
        <v>9346.98960396</v>
      </c>
      <c r="I256" s="11">
        <f t="shared" si="25"/>
        <v>0</v>
      </c>
      <c r="J256" s="11">
        <f>357.602242932*E256*F256</f>
        <v>357.602242932</v>
      </c>
      <c r="K256" s="11">
        <f>1760.7590547561*E256*F256</f>
        <v>1760.7590547561</v>
      </c>
      <c r="L256" s="15">
        <f t="shared" si="26"/>
        <v>11822.2393676481</v>
      </c>
      <c r="M256" s="13">
        <f t="shared" si="23"/>
        <v>11822.2393676481</v>
      </c>
    </row>
    <row r="257" spans="2:13" ht="13.5" thickBot="1" thickTop="1">
      <c r="B257" s="7">
        <v>252</v>
      </c>
      <c r="C257" s="5" t="s">
        <v>363</v>
      </c>
      <c r="D257" s="5" t="s">
        <v>364</v>
      </c>
      <c r="E257" s="9">
        <v>1</v>
      </c>
      <c r="F257" s="9">
        <v>1</v>
      </c>
      <c r="G257" s="11">
        <f>37370.52*E257*F257</f>
        <v>37370.52</v>
      </c>
      <c r="H257" s="11">
        <f>40608.09674712*E257*F257</f>
        <v>40608.09674712</v>
      </c>
      <c r="I257" s="11">
        <f t="shared" si="25"/>
        <v>0</v>
      </c>
      <c r="J257" s="11">
        <f>37445.26104*E257*F257</f>
        <v>37445.26104</v>
      </c>
      <c r="K257" s="11">
        <f>20199.178612746*E257*F257</f>
        <v>20199.178612746</v>
      </c>
      <c r="L257" s="15">
        <f t="shared" si="26"/>
        <v>135623.05639986598</v>
      </c>
      <c r="M257" s="13">
        <f t="shared" si="23"/>
        <v>135623.05639986598</v>
      </c>
    </row>
    <row r="258" spans="2:13" ht="13.5" thickBot="1" thickTop="1">
      <c r="B258" s="7">
        <v>253</v>
      </c>
      <c r="C258" s="5" t="s">
        <v>365</v>
      </c>
      <c r="D258" s="5" t="s">
        <v>366</v>
      </c>
      <c r="E258" s="9">
        <v>1</v>
      </c>
      <c r="F258" s="9">
        <v>1</v>
      </c>
      <c r="G258" s="11">
        <f>237.0896*E258*F258</f>
        <v>237.0896</v>
      </c>
      <c r="H258" s="11">
        <f>6190.3629069624*E258*F258</f>
        <v>6190.3629069624</v>
      </c>
      <c r="I258" s="11">
        <f t="shared" si="25"/>
        <v>0</v>
      </c>
      <c r="J258" s="11">
        <f>237.5637792*E258*F258</f>
        <v>237.5637792</v>
      </c>
      <c r="K258" s="11">
        <f>1166.3778500784*E258*F258</f>
        <v>1166.3778500784</v>
      </c>
      <c r="L258" s="15">
        <f t="shared" si="26"/>
        <v>7831.3941362408</v>
      </c>
      <c r="M258" s="13">
        <f t="shared" si="23"/>
        <v>7831.3941362408</v>
      </c>
    </row>
    <row r="259" spans="2:13" ht="13.5" thickBot="1" thickTop="1">
      <c r="B259" s="7">
        <v>254</v>
      </c>
      <c r="C259" s="5" t="s">
        <v>367</v>
      </c>
      <c r="D259" s="5" t="s">
        <v>366</v>
      </c>
      <c r="E259" s="9">
        <v>1</v>
      </c>
      <c r="F259" s="9">
        <v>1</v>
      </c>
      <c r="G259" s="11">
        <f>94.3679*E259*F259</f>
        <v>94.3679</v>
      </c>
      <c r="H259" s="11">
        <f>20.407980888*E259*F259</f>
        <v>20.407980888</v>
      </c>
      <c r="I259" s="11">
        <f t="shared" si="25"/>
        <v>0</v>
      </c>
      <c r="J259" s="11">
        <f>94.5566358*E259*F259</f>
        <v>94.5566358</v>
      </c>
      <c r="K259" s="11">
        <f>36.6331904204*E259*F259</f>
        <v>36.6331904204</v>
      </c>
      <c r="L259" s="15">
        <f t="shared" si="26"/>
        <v>245.9657071084</v>
      </c>
      <c r="M259" s="13">
        <f t="shared" si="23"/>
        <v>245.9657071084</v>
      </c>
    </row>
    <row r="260" spans="2:13" ht="13.5" thickBot="1" thickTop="1">
      <c r="B260" s="7">
        <v>255</v>
      </c>
      <c r="C260" s="5" t="s">
        <v>368</v>
      </c>
      <c r="D260" s="5" t="s">
        <v>369</v>
      </c>
      <c r="E260" s="9">
        <v>1</v>
      </c>
      <c r="F260" s="9">
        <v>1</v>
      </c>
      <c r="G260" s="11">
        <f>934.263*E260*F260</f>
        <v>934.263</v>
      </c>
      <c r="H260" s="11">
        <f>0*E260*F260</f>
        <v>0</v>
      </c>
      <c r="I260" s="11">
        <f t="shared" si="25"/>
        <v>0</v>
      </c>
      <c r="J260" s="11">
        <f>936.131526*E260*F260</f>
        <v>936.131526</v>
      </c>
      <c r="K260" s="11">
        <f>327.31904205*E260*F260</f>
        <v>327.31904205</v>
      </c>
      <c r="L260" s="15">
        <f>M260/F260/E260/100</f>
        <v>21.9771356805</v>
      </c>
      <c r="M260" s="13">
        <f t="shared" si="23"/>
        <v>2197.71356805</v>
      </c>
    </row>
    <row r="261" spans="2:13" ht="13.5" thickBot="1" thickTop="1">
      <c r="B261" s="7">
        <v>256</v>
      </c>
      <c r="C261" s="5" t="s">
        <v>370</v>
      </c>
      <c r="D261" s="5" t="s">
        <v>369</v>
      </c>
      <c r="E261" s="9">
        <v>1</v>
      </c>
      <c r="F261" s="9">
        <v>1</v>
      </c>
      <c r="G261" s="11">
        <f>2242.2312*E261*F261</f>
        <v>2242.2312</v>
      </c>
      <c r="H261" s="11">
        <f>0*E261*F261</f>
        <v>0</v>
      </c>
      <c r="I261" s="11">
        <f aca="true" t="shared" si="27" ref="I261:I292">0*E261*F261</f>
        <v>0</v>
      </c>
      <c r="J261" s="11">
        <f>2246.7156624*E261*F261</f>
        <v>2246.7156624</v>
      </c>
      <c r="K261" s="11">
        <f>785.56570092*E261*F261</f>
        <v>785.56570092</v>
      </c>
      <c r="L261" s="15">
        <f>M261/F261/E261/100</f>
        <v>52.745125633200004</v>
      </c>
      <c r="M261" s="13">
        <f aca="true" t="shared" si="28" ref="M261:M324">SUM(G261:K261)</f>
        <v>5274.5125633200005</v>
      </c>
    </row>
    <row r="262" spans="2:13" ht="13.5" thickBot="1" thickTop="1">
      <c r="B262" s="7">
        <v>257</v>
      </c>
      <c r="C262" s="5" t="s">
        <v>371</v>
      </c>
      <c r="D262" s="5" t="s">
        <v>372</v>
      </c>
      <c r="E262" s="9">
        <v>1</v>
      </c>
      <c r="F262" s="9">
        <v>1</v>
      </c>
      <c r="G262" s="11">
        <f>35.501994*E262*F262</f>
        <v>35.501994</v>
      </c>
      <c r="H262" s="11">
        <f>66.202488*E262*F262</f>
        <v>66.202488</v>
      </c>
      <c r="I262" s="11">
        <f t="shared" si="27"/>
        <v>0</v>
      </c>
      <c r="J262" s="11">
        <f>35.572997988*E262*F262</f>
        <v>35.572997988</v>
      </c>
      <c r="K262" s="11">
        <f>24.0235589979*E262*F262</f>
        <v>24.0235589979</v>
      </c>
      <c r="L262" s="15">
        <f aca="true" t="shared" si="29" ref="L262:L267">M262/F262/E262</f>
        <v>161.30103898590002</v>
      </c>
      <c r="M262" s="13">
        <f t="shared" si="28"/>
        <v>161.30103898590002</v>
      </c>
    </row>
    <row r="263" spans="2:13" ht="25.5" thickBot="1" thickTop="1">
      <c r="B263" s="7">
        <v>258</v>
      </c>
      <c r="C263" s="5" t="s">
        <v>373</v>
      </c>
      <c r="D263" s="5" t="s">
        <v>374</v>
      </c>
      <c r="E263" s="9">
        <v>1</v>
      </c>
      <c r="F263" s="9">
        <v>1</v>
      </c>
      <c r="G263" s="11">
        <f>69.48909*E263*F263</f>
        <v>69.48909</v>
      </c>
      <c r="H263" s="11">
        <f>472.89561912*E263*F263</f>
        <v>472.89561912</v>
      </c>
      <c r="I263" s="11">
        <f t="shared" si="27"/>
        <v>0</v>
      </c>
      <c r="J263" s="11">
        <f>69.62806818*E263*F263</f>
        <v>69.62806818</v>
      </c>
      <c r="K263" s="11">
        <f>107.1022360275*E263*F263</f>
        <v>107.1022360275</v>
      </c>
      <c r="L263" s="15">
        <f t="shared" si="29"/>
        <v>719.1150133275</v>
      </c>
      <c r="M263" s="13">
        <f t="shared" si="28"/>
        <v>719.1150133275</v>
      </c>
    </row>
    <row r="264" spans="2:13" ht="13.5" thickBot="1" thickTop="1">
      <c r="B264" s="7">
        <v>259</v>
      </c>
      <c r="C264" s="5" t="s">
        <v>375</v>
      </c>
      <c r="D264" s="5" t="s">
        <v>374</v>
      </c>
      <c r="E264" s="9">
        <v>1</v>
      </c>
      <c r="F264" s="9">
        <v>1</v>
      </c>
      <c r="G264" s="11">
        <f>127.35767*E264*F264</f>
        <v>127.35767</v>
      </c>
      <c r="H264" s="11">
        <f>1109.05701192*E264*F264</f>
        <v>1109.05701192</v>
      </c>
      <c r="I264" s="11">
        <f t="shared" si="27"/>
        <v>0</v>
      </c>
      <c r="J264" s="11">
        <f>127.61238534*E264*F264</f>
        <v>127.61238534</v>
      </c>
      <c r="K264" s="11">
        <f>238.7047367705*E264*F264</f>
        <v>238.7047367705</v>
      </c>
      <c r="L264" s="15">
        <f t="shared" si="29"/>
        <v>1602.7318040305</v>
      </c>
      <c r="M264" s="13">
        <f t="shared" si="28"/>
        <v>1602.7318040305</v>
      </c>
    </row>
    <row r="265" spans="2:13" ht="25.5" thickBot="1" thickTop="1">
      <c r="B265" s="7">
        <v>260</v>
      </c>
      <c r="C265" s="5" t="s">
        <v>376</v>
      </c>
      <c r="D265" s="5" t="s">
        <v>374</v>
      </c>
      <c r="E265" s="9">
        <v>1</v>
      </c>
      <c r="F265" s="9">
        <v>1</v>
      </c>
      <c r="G265" s="11">
        <f>29.896416*E265*F265</f>
        <v>29.896416</v>
      </c>
      <c r="H265" s="11">
        <f>32.16672*E265*F265</f>
        <v>32.16672</v>
      </c>
      <c r="I265" s="11">
        <f t="shared" si="27"/>
        <v>0</v>
      </c>
      <c r="J265" s="11">
        <f>29.956208832*E265*F265</f>
        <v>29.956208832</v>
      </c>
      <c r="K265" s="11">
        <f>16.1033853456*E265*F265</f>
        <v>16.1033853456</v>
      </c>
      <c r="L265" s="15">
        <f t="shared" si="29"/>
        <v>108.1227301776</v>
      </c>
      <c r="M265" s="13">
        <f t="shared" si="28"/>
        <v>108.1227301776</v>
      </c>
    </row>
    <row r="266" spans="2:13" ht="13.5" thickBot="1" thickTop="1">
      <c r="B266" s="7">
        <v>261</v>
      </c>
      <c r="C266" s="5" t="s">
        <v>377</v>
      </c>
      <c r="D266" s="5" t="s">
        <v>374</v>
      </c>
      <c r="E266" s="9">
        <v>1</v>
      </c>
      <c r="F266" s="9">
        <v>1</v>
      </c>
      <c r="G266" s="11">
        <f>84.08367*E266*F266</f>
        <v>84.08367</v>
      </c>
      <c r="H266" s="11">
        <f>361.92456*E266*F266</f>
        <v>361.92456</v>
      </c>
      <c r="I266" s="11">
        <f t="shared" si="27"/>
        <v>0</v>
      </c>
      <c r="J266" s="11">
        <f>84.25183734*E266*F266</f>
        <v>84.25183734</v>
      </c>
      <c r="K266" s="11">
        <f>92.7955117845*E266*F266</f>
        <v>92.7955117845</v>
      </c>
      <c r="L266" s="15">
        <f t="shared" si="29"/>
        <v>623.0555791245</v>
      </c>
      <c r="M266" s="13">
        <f t="shared" si="28"/>
        <v>623.0555791245</v>
      </c>
    </row>
    <row r="267" spans="2:13" ht="13.5" thickBot="1" thickTop="1">
      <c r="B267" s="7">
        <v>262</v>
      </c>
      <c r="C267" s="5" t="s">
        <v>378</v>
      </c>
      <c r="D267" s="5" t="s">
        <v>379</v>
      </c>
      <c r="E267" s="9">
        <v>1</v>
      </c>
      <c r="F267" s="9">
        <v>1</v>
      </c>
      <c r="G267" s="11">
        <f>17.750997*E267*F267</f>
        <v>17.750997</v>
      </c>
      <c r="H267" s="11">
        <f>12*E267*F267</f>
        <v>12</v>
      </c>
      <c r="I267" s="11">
        <f t="shared" si="27"/>
        <v>0</v>
      </c>
      <c r="J267" s="11">
        <f>17.786498994*E267*F267</f>
        <v>17.786498994</v>
      </c>
      <c r="K267" s="11">
        <f>8.31906179895*E267*F267</f>
        <v>8.31906179895</v>
      </c>
      <c r="L267" s="15">
        <f t="shared" si="29"/>
        <v>55.85655779295</v>
      </c>
      <c r="M267" s="13">
        <f t="shared" si="28"/>
        <v>55.85655779295</v>
      </c>
    </row>
    <row r="268" spans="2:13" ht="13.5" thickBot="1" thickTop="1">
      <c r="B268" s="7">
        <v>263</v>
      </c>
      <c r="C268" s="5" t="s">
        <v>380</v>
      </c>
      <c r="D268" s="5" t="s">
        <v>381</v>
      </c>
      <c r="E268" s="9">
        <v>1</v>
      </c>
      <c r="F268" s="9">
        <v>1</v>
      </c>
      <c r="G268" s="11">
        <f>2597.25114*E268*F268</f>
        <v>2597.25114</v>
      </c>
      <c r="H268" s="11">
        <f>1837.224*E268*F268</f>
        <v>1837.224</v>
      </c>
      <c r="I268" s="11">
        <f t="shared" si="27"/>
        <v>0</v>
      </c>
      <c r="J268" s="11">
        <f>2602.44564228*E268*F268</f>
        <v>2602.44564228</v>
      </c>
      <c r="K268" s="11">
        <f>1231.461136899*E268*F268</f>
        <v>1231.461136899</v>
      </c>
      <c r="L268" s="15">
        <f aca="true" t="shared" si="30" ref="L268:L276">M268/F268/E268/100</f>
        <v>82.68381919179</v>
      </c>
      <c r="M268" s="13">
        <f t="shared" si="28"/>
        <v>8268.381919178999</v>
      </c>
    </row>
    <row r="269" spans="2:13" ht="25.5" thickBot="1" thickTop="1">
      <c r="B269" s="7">
        <v>264</v>
      </c>
      <c r="C269" s="5" t="s">
        <v>382</v>
      </c>
      <c r="D269" s="5" t="s">
        <v>383</v>
      </c>
      <c r="E269" s="9">
        <v>1</v>
      </c>
      <c r="F269" s="9">
        <v>1</v>
      </c>
      <c r="G269" s="11">
        <f>13079.682*E269*F269</f>
        <v>13079.682</v>
      </c>
      <c r="H269" s="11">
        <f>55.928844*E269*F269</f>
        <v>55.928844</v>
      </c>
      <c r="I269" s="11">
        <f t="shared" si="27"/>
        <v>0</v>
      </c>
      <c r="J269" s="11">
        <f>13105.841364*E269*F269</f>
        <v>13105.841364</v>
      </c>
      <c r="K269" s="11">
        <f>4592.2541364*E269*F269</f>
        <v>4592.2541364</v>
      </c>
      <c r="L269" s="15">
        <f t="shared" si="30"/>
        <v>308.337063444</v>
      </c>
      <c r="M269" s="13">
        <f t="shared" si="28"/>
        <v>30833.7063444</v>
      </c>
    </row>
    <row r="270" spans="2:13" ht="13.5" thickBot="1" thickTop="1">
      <c r="B270" s="7">
        <v>265</v>
      </c>
      <c r="C270" s="5" t="s">
        <v>384</v>
      </c>
      <c r="D270" s="5" t="s">
        <v>102</v>
      </c>
      <c r="E270" s="9">
        <v>1</v>
      </c>
      <c r="F270" s="9">
        <v>1</v>
      </c>
      <c r="G270" s="11">
        <f>4788.18318*E270*F270</f>
        <v>4788.18318</v>
      </c>
      <c r="H270" s="11">
        <f>1317.68496*E270*F270</f>
        <v>1317.68496</v>
      </c>
      <c r="I270" s="11">
        <f t="shared" si="27"/>
        <v>0</v>
      </c>
      <c r="J270" s="11">
        <f>4797.75954636*E270*F270</f>
        <v>4797.75954636</v>
      </c>
      <c r="K270" s="11">
        <f>1908.134845113*E270*F270</f>
        <v>1908.134845113</v>
      </c>
      <c r="L270" s="15">
        <f t="shared" si="30"/>
        <v>128.11762531473</v>
      </c>
      <c r="M270" s="13">
        <f t="shared" si="28"/>
        <v>12811.762531473</v>
      </c>
    </row>
    <row r="271" spans="2:13" ht="25.5" thickBot="1" thickTop="1">
      <c r="B271" s="7">
        <v>266</v>
      </c>
      <c r="C271" s="5" t="s">
        <v>385</v>
      </c>
      <c r="D271" s="5" t="s">
        <v>386</v>
      </c>
      <c r="E271" s="9">
        <v>1</v>
      </c>
      <c r="F271" s="9">
        <v>1</v>
      </c>
      <c r="G271" s="11">
        <f>25.636128192378*E271*F271</f>
        <v>25.636128192378</v>
      </c>
      <c r="H271" s="11">
        <f>326.17475267653*E271*F271</f>
        <v>326.17475267653</v>
      </c>
      <c r="I271" s="11">
        <f t="shared" si="27"/>
        <v>0</v>
      </c>
      <c r="J271" s="11">
        <f>25.687400448763*E271*F271</f>
        <v>25.687400448763</v>
      </c>
      <c r="K271" s="11">
        <f>66.062199230593*E271*F271</f>
        <v>66.062199230593</v>
      </c>
      <c r="L271" s="15">
        <f>M271/F271/E271</f>
        <v>443.56048054826397</v>
      </c>
      <c r="M271" s="13">
        <f t="shared" si="28"/>
        <v>443.56048054826397</v>
      </c>
    </row>
    <row r="272" spans="2:13" ht="25.5" thickBot="1" thickTop="1">
      <c r="B272" s="7">
        <v>267</v>
      </c>
      <c r="C272" s="5" t="s">
        <v>387</v>
      </c>
      <c r="D272" s="5" t="s">
        <v>388</v>
      </c>
      <c r="E272" s="9">
        <v>1</v>
      </c>
      <c r="F272" s="9">
        <v>1</v>
      </c>
      <c r="G272" s="11">
        <f>4113.7041*E272*F272</f>
        <v>4113.7041</v>
      </c>
      <c r="H272" s="11">
        <f>17032.622992206*E272*F272</f>
        <v>17032.622992206</v>
      </c>
      <c r="I272" s="11">
        <f t="shared" si="27"/>
        <v>0</v>
      </c>
      <c r="J272" s="11">
        <f>4121.9315082*E272*F272</f>
        <v>4121.9315082</v>
      </c>
      <c r="K272" s="11">
        <f>4421.9452550711*E272*F272</f>
        <v>4421.9452550711</v>
      </c>
      <c r="L272" s="15">
        <f t="shared" si="30"/>
        <v>296.90203855477097</v>
      </c>
      <c r="M272" s="13">
        <f t="shared" si="28"/>
        <v>29690.2038554771</v>
      </c>
    </row>
    <row r="273" spans="2:13" ht="25.5" thickBot="1" thickTop="1">
      <c r="B273" s="7">
        <v>268</v>
      </c>
      <c r="C273" s="5" t="s">
        <v>389</v>
      </c>
      <c r="D273" s="5" t="s">
        <v>388</v>
      </c>
      <c r="E273" s="9">
        <v>1</v>
      </c>
      <c r="F273" s="9">
        <v>1</v>
      </c>
      <c r="G273" s="11">
        <f>4113.7041*E273*F273</f>
        <v>4113.7041</v>
      </c>
      <c r="H273" s="11">
        <f>20141.797366014*E273*F273</f>
        <v>20141.797366014</v>
      </c>
      <c r="I273" s="11">
        <f t="shared" si="27"/>
        <v>0</v>
      </c>
      <c r="J273" s="11">
        <f>4121.9315082*E273*F273</f>
        <v>4121.9315082</v>
      </c>
      <c r="K273" s="11">
        <f>4966.0507704875*E273*F273</f>
        <v>4966.0507704875</v>
      </c>
      <c r="L273" s="15">
        <f t="shared" si="30"/>
        <v>333.434837447015</v>
      </c>
      <c r="M273" s="13">
        <f t="shared" si="28"/>
        <v>33343.4837447015</v>
      </c>
    </row>
    <row r="274" spans="2:13" ht="25.5" thickBot="1" thickTop="1">
      <c r="B274" s="7">
        <v>269</v>
      </c>
      <c r="C274" s="5" t="s">
        <v>390</v>
      </c>
      <c r="D274" s="5" t="s">
        <v>388</v>
      </c>
      <c r="E274" s="9">
        <v>1</v>
      </c>
      <c r="F274" s="9">
        <v>1</v>
      </c>
      <c r="G274" s="11">
        <f>4113.7041*E274*F274</f>
        <v>4113.7041</v>
      </c>
      <c r="H274" s="11">
        <f>26506.664698254*E274*F274</f>
        <v>26506.664698254</v>
      </c>
      <c r="I274" s="11">
        <f t="shared" si="27"/>
        <v>0</v>
      </c>
      <c r="J274" s="11">
        <f>4121.9315082*E274*F274</f>
        <v>4121.9315082</v>
      </c>
      <c r="K274" s="11">
        <f>6079.9025536295*E274*F274</f>
        <v>6079.9025536295</v>
      </c>
      <c r="L274" s="15">
        <f t="shared" si="30"/>
        <v>408.222028600835</v>
      </c>
      <c r="M274" s="13">
        <f t="shared" si="28"/>
        <v>40822.202860083504</v>
      </c>
    </row>
    <row r="275" spans="2:13" ht="13.5" thickBot="1" thickTop="1">
      <c r="B275" s="7">
        <v>270</v>
      </c>
      <c r="C275" s="5" t="s">
        <v>391</v>
      </c>
      <c r="D275" s="5" t="s">
        <v>388</v>
      </c>
      <c r="E275" s="9">
        <v>1</v>
      </c>
      <c r="F275" s="9">
        <v>1</v>
      </c>
      <c r="G275" s="11">
        <f>4113.7041*E275*F275</f>
        <v>4113.7041</v>
      </c>
      <c r="H275" s="11">
        <f>16184.420524878*E275*F275</f>
        <v>16184.420524878</v>
      </c>
      <c r="I275" s="11">
        <f t="shared" si="27"/>
        <v>0</v>
      </c>
      <c r="J275" s="11">
        <f>4121.9315082*E275*F275</f>
        <v>4121.9315082</v>
      </c>
      <c r="K275" s="11">
        <f>4273.5098232887*E275*F275</f>
        <v>4273.5098232887</v>
      </c>
      <c r="L275" s="15">
        <f t="shared" si="30"/>
        <v>286.935659563667</v>
      </c>
      <c r="M275" s="13">
        <f t="shared" si="28"/>
        <v>28693.5659563667</v>
      </c>
    </row>
    <row r="276" spans="2:13" ht="13.5" thickBot="1" thickTop="1">
      <c r="B276" s="7">
        <v>271</v>
      </c>
      <c r="C276" s="5" t="s">
        <v>392</v>
      </c>
      <c r="D276" s="5" t="s">
        <v>388</v>
      </c>
      <c r="E276" s="9">
        <v>1</v>
      </c>
      <c r="F276" s="9">
        <v>1</v>
      </c>
      <c r="G276" s="11">
        <f>4113.7041*E276*F276</f>
        <v>4113.7041</v>
      </c>
      <c r="H276" s="11">
        <f>13798.799497468*E276*F276</f>
        <v>13798.799497468</v>
      </c>
      <c r="I276" s="11">
        <f t="shared" si="27"/>
        <v>0</v>
      </c>
      <c r="J276" s="11">
        <f>4121.9315082*E276*F276</f>
        <v>4121.9315082</v>
      </c>
      <c r="K276" s="11">
        <f>3856.0261434918*E276*F276</f>
        <v>3856.0261434918</v>
      </c>
      <c r="L276" s="15">
        <f t="shared" si="30"/>
        <v>258.90461249159796</v>
      </c>
      <c r="M276" s="13">
        <f t="shared" si="28"/>
        <v>25890.461249159798</v>
      </c>
    </row>
    <row r="277" spans="2:13" ht="25.5" thickBot="1" thickTop="1">
      <c r="B277" s="7">
        <v>272</v>
      </c>
      <c r="C277" s="5" t="s">
        <v>393</v>
      </c>
      <c r="D277" s="5" t="s">
        <v>394</v>
      </c>
      <c r="E277" s="9">
        <v>1</v>
      </c>
      <c r="F277" s="9">
        <v>1</v>
      </c>
      <c r="G277" s="11">
        <f>177.068133*E277*F277</f>
        <v>177.068133</v>
      </c>
      <c r="H277" s="11">
        <f>837.8741165256*E277*F277</f>
        <v>837.8741165256</v>
      </c>
      <c r="I277" s="11">
        <f t="shared" si="27"/>
        <v>0</v>
      </c>
      <c r="J277" s="11">
        <f>177.422269266*E277*F277</f>
        <v>177.422269266</v>
      </c>
      <c r="K277" s="11">
        <f>208.66379078853*E277*F277</f>
        <v>208.66379078853</v>
      </c>
      <c r="L277" s="15">
        <f>M277/F277/E277</f>
        <v>1401.0283095801299</v>
      </c>
      <c r="M277" s="13">
        <f t="shared" si="28"/>
        <v>1401.0283095801299</v>
      </c>
    </row>
    <row r="278" spans="2:13" ht="37.5" thickBot="1" thickTop="1">
      <c r="B278" s="7">
        <v>273</v>
      </c>
      <c r="C278" s="5" t="s">
        <v>395</v>
      </c>
      <c r="D278" s="5" t="s">
        <v>396</v>
      </c>
      <c r="E278" s="9">
        <v>1</v>
      </c>
      <c r="F278" s="9">
        <v>1</v>
      </c>
      <c r="G278" s="11">
        <f>286.19415*E278*F278</f>
        <v>286.19415</v>
      </c>
      <c r="H278" s="11">
        <f>80.791804224*E278*F278</f>
        <v>80.791804224</v>
      </c>
      <c r="I278" s="11">
        <f t="shared" si="27"/>
        <v>0</v>
      </c>
      <c r="J278" s="11">
        <f>286.7665383*E278*F278</f>
        <v>286.7665383</v>
      </c>
      <c r="K278" s="11">
        <f>114.4066861917*E278*F278</f>
        <v>114.4066861917</v>
      </c>
      <c r="L278" s="15">
        <f>M278/F278/E278</f>
        <v>768.1591787157</v>
      </c>
      <c r="M278" s="13">
        <f t="shared" si="28"/>
        <v>768.1591787157</v>
      </c>
    </row>
    <row r="279" spans="2:13" ht="37.5" thickBot="1" thickTop="1">
      <c r="B279" s="7">
        <v>274</v>
      </c>
      <c r="C279" s="5" t="s">
        <v>397</v>
      </c>
      <c r="D279" s="5" t="s">
        <v>396</v>
      </c>
      <c r="E279" s="9">
        <v>1</v>
      </c>
      <c r="F279" s="9">
        <v>1</v>
      </c>
      <c r="G279" s="11">
        <f>51.868443*E279*F279</f>
        <v>51.868443</v>
      </c>
      <c r="H279" s="11">
        <f>2.399931703584*E279*F279</f>
        <v>2.399931703584</v>
      </c>
      <c r="I279" s="11">
        <f t="shared" si="27"/>
        <v>0</v>
      </c>
      <c r="J279" s="11">
        <f>51.972179886*E279*F279</f>
        <v>51.972179886</v>
      </c>
      <c r="K279" s="11">
        <f>18.592097053177*E279*F279</f>
        <v>18.592097053177</v>
      </c>
      <c r="L279" s="15">
        <f>M279/F279/E279</f>
        <v>124.83265164276101</v>
      </c>
      <c r="M279" s="13">
        <f t="shared" si="28"/>
        <v>124.83265164276101</v>
      </c>
    </row>
    <row r="280" spans="2:13" ht="37.5" thickBot="1" thickTop="1">
      <c r="B280" s="7">
        <v>275</v>
      </c>
      <c r="C280" s="5" t="s">
        <v>398</v>
      </c>
      <c r="D280" s="5" t="s">
        <v>399</v>
      </c>
      <c r="E280" s="9">
        <v>1</v>
      </c>
      <c r="F280" s="9">
        <v>1</v>
      </c>
      <c r="G280" s="11">
        <f>6558.52626*E280*F280</f>
        <v>6558.52626</v>
      </c>
      <c r="H280" s="11">
        <f>4341.792075552*E280*F280</f>
        <v>4341.792075552</v>
      </c>
      <c r="I280" s="11">
        <f t="shared" si="27"/>
        <v>0</v>
      </c>
      <c r="J280" s="11">
        <f>6571.64331252*E280*F280</f>
        <v>6571.64331252</v>
      </c>
      <c r="K280" s="11">
        <f>3057.5932884126*E280*F280</f>
        <v>3057.5932884126</v>
      </c>
      <c r="L280" s="15">
        <f>M280/F280/E280/100</f>
        <v>205.295549364846</v>
      </c>
      <c r="M280" s="13">
        <f t="shared" si="28"/>
        <v>20529.5549364846</v>
      </c>
    </row>
    <row r="281" spans="2:13" ht="25.5" thickBot="1" thickTop="1">
      <c r="B281" s="7">
        <v>276</v>
      </c>
      <c r="C281" s="5" t="s">
        <v>400</v>
      </c>
      <c r="D281" s="5" t="s">
        <v>401</v>
      </c>
      <c r="E281" s="9">
        <v>1</v>
      </c>
      <c r="F281" s="9">
        <v>1</v>
      </c>
      <c r="G281" s="11">
        <f>8553.9144*E281*F281</f>
        <v>8553.9144</v>
      </c>
      <c r="H281" s="11">
        <f>45859.542734851*E281*F281</f>
        <v>45859.542734851</v>
      </c>
      <c r="I281" s="11">
        <f t="shared" si="27"/>
        <v>0</v>
      </c>
      <c r="J281" s="11">
        <f>8571.0222288*E281*F281</f>
        <v>8571.0222288</v>
      </c>
      <c r="K281" s="11">
        <f>11022.283888639*E281*F281</f>
        <v>11022.283888639</v>
      </c>
      <c r="L281" s="15">
        <f>M281/F281/E281/100</f>
        <v>740.0676325229</v>
      </c>
      <c r="M281" s="13">
        <f t="shared" si="28"/>
        <v>74006.76325229</v>
      </c>
    </row>
    <row r="282" spans="2:13" ht="25.5" thickBot="1" thickTop="1">
      <c r="B282" s="7">
        <v>277</v>
      </c>
      <c r="C282" s="5" t="s">
        <v>402</v>
      </c>
      <c r="D282" s="5" t="s">
        <v>403</v>
      </c>
      <c r="E282" s="9">
        <v>1</v>
      </c>
      <c r="F282" s="9">
        <v>1</v>
      </c>
      <c r="G282" s="11">
        <f>72.872514*E282*F282</f>
        <v>72.872514</v>
      </c>
      <c r="H282" s="11">
        <f aca="true" t="shared" si="31" ref="H282:H296">0*E282*F282</f>
        <v>0</v>
      </c>
      <c r="I282" s="11">
        <f t="shared" si="27"/>
        <v>0</v>
      </c>
      <c r="J282" s="11">
        <f>73.018259028*E282*F282</f>
        <v>73.018259028</v>
      </c>
      <c r="K282" s="11">
        <f>25.5308852799*E282*F282</f>
        <v>25.5308852799</v>
      </c>
      <c r="L282" s="15">
        <f>M282/F282/E282/1000</f>
        <v>0.17142165830790002</v>
      </c>
      <c r="M282" s="13">
        <f t="shared" si="28"/>
        <v>171.4216583079</v>
      </c>
    </row>
    <row r="283" spans="2:13" ht="25.5" thickBot="1" thickTop="1">
      <c r="B283" s="7">
        <v>278</v>
      </c>
      <c r="C283" s="5" t="s">
        <v>404</v>
      </c>
      <c r="D283" s="5" t="s">
        <v>403</v>
      </c>
      <c r="E283" s="9">
        <v>1</v>
      </c>
      <c r="F283" s="9">
        <v>1</v>
      </c>
      <c r="G283" s="11">
        <f>581.111586*E283*F283</f>
        <v>581.111586</v>
      </c>
      <c r="H283" s="11">
        <f t="shared" si="31"/>
        <v>0</v>
      </c>
      <c r="I283" s="11">
        <f t="shared" si="27"/>
        <v>0</v>
      </c>
      <c r="J283" s="11">
        <f>582.273809172*E283*F283</f>
        <v>582.273809172</v>
      </c>
      <c r="K283" s="11">
        <f>203.5924441551*E283*F283</f>
        <v>203.5924441551</v>
      </c>
      <c r="L283" s="15">
        <f aca="true" t="shared" si="32" ref="L283:L293">M283/F283/E283/1000</f>
        <v>1.3669778393271</v>
      </c>
      <c r="M283" s="13">
        <f t="shared" si="28"/>
        <v>1366.9778393271</v>
      </c>
    </row>
    <row r="284" spans="2:13" ht="25.5" thickBot="1" thickTop="1">
      <c r="B284" s="7">
        <v>279</v>
      </c>
      <c r="C284" s="5" t="s">
        <v>405</v>
      </c>
      <c r="D284" s="5" t="s">
        <v>403</v>
      </c>
      <c r="E284" s="9">
        <v>1</v>
      </c>
      <c r="F284" s="9">
        <v>1</v>
      </c>
      <c r="G284" s="11">
        <f>2065.16772*E284*F284</f>
        <v>2065.16772</v>
      </c>
      <c r="H284" s="11">
        <f t="shared" si="31"/>
        <v>0</v>
      </c>
      <c r="I284" s="11">
        <f t="shared" si="27"/>
        <v>0</v>
      </c>
      <c r="J284" s="11">
        <f>2069.29805544*E284*F284</f>
        <v>2069.29805544</v>
      </c>
      <c r="K284" s="11">
        <f>723.531510702*E284*F284</f>
        <v>723.531510702</v>
      </c>
      <c r="L284" s="15">
        <f t="shared" si="32"/>
        <v>4.857997286141999</v>
      </c>
      <c r="M284" s="13">
        <f t="shared" si="28"/>
        <v>4857.997286141999</v>
      </c>
    </row>
    <row r="285" spans="2:13" ht="25.5" thickBot="1" thickTop="1">
      <c r="B285" s="7">
        <v>280</v>
      </c>
      <c r="C285" s="5" t="s">
        <v>406</v>
      </c>
      <c r="D285" s="5" t="s">
        <v>403</v>
      </c>
      <c r="E285" s="9">
        <v>1</v>
      </c>
      <c r="F285" s="9">
        <v>1</v>
      </c>
      <c r="G285" s="11">
        <f>526.8285*E285*F285</f>
        <v>526.8285</v>
      </c>
      <c r="H285" s="11">
        <f t="shared" si="31"/>
        <v>0</v>
      </c>
      <c r="I285" s="11">
        <f t="shared" si="27"/>
        <v>0</v>
      </c>
      <c r="J285" s="11">
        <f>527.882157*E285*F285</f>
        <v>527.882157</v>
      </c>
      <c r="K285" s="11">
        <f>184.574364975*E285*F285</f>
        <v>184.574364975</v>
      </c>
      <c r="L285" s="15">
        <f t="shared" si="32"/>
        <v>1.239285021975</v>
      </c>
      <c r="M285" s="13">
        <f t="shared" si="28"/>
        <v>1239.285021975</v>
      </c>
    </row>
    <row r="286" spans="2:13" ht="13.5" thickBot="1" thickTop="1">
      <c r="B286" s="7">
        <v>281</v>
      </c>
      <c r="C286" s="5" t="s">
        <v>407</v>
      </c>
      <c r="D286" s="5" t="s">
        <v>408</v>
      </c>
      <c r="E286" s="9">
        <v>1</v>
      </c>
      <c r="F286" s="9">
        <v>1</v>
      </c>
      <c r="G286" s="11">
        <f>442.53594*E286*F286</f>
        <v>442.53594</v>
      </c>
      <c r="H286" s="11">
        <f t="shared" si="31"/>
        <v>0</v>
      </c>
      <c r="I286" s="11">
        <f t="shared" si="27"/>
        <v>0</v>
      </c>
      <c r="J286" s="11">
        <f>443.42101188*E286*F286</f>
        <v>443.42101188</v>
      </c>
      <c r="K286" s="11">
        <f>155.042466579*E286*F286</f>
        <v>155.042466579</v>
      </c>
      <c r="L286" s="15">
        <f t="shared" si="32"/>
        <v>1.0409994184590001</v>
      </c>
      <c r="M286" s="13">
        <f t="shared" si="28"/>
        <v>1040.999418459</v>
      </c>
    </row>
    <row r="287" spans="2:13" ht="13.5" thickBot="1" thickTop="1">
      <c r="B287" s="7">
        <v>282</v>
      </c>
      <c r="C287" s="5" t="s">
        <v>409</v>
      </c>
      <c r="D287" s="5" t="s">
        <v>408</v>
      </c>
      <c r="E287" s="9">
        <v>1</v>
      </c>
      <c r="F287" s="9">
        <v>1</v>
      </c>
      <c r="G287" s="11">
        <f>288.702018*E287*F287</f>
        <v>288.702018</v>
      </c>
      <c r="H287" s="11">
        <f t="shared" si="31"/>
        <v>0</v>
      </c>
      <c r="I287" s="11">
        <f t="shared" si="27"/>
        <v>0</v>
      </c>
      <c r="J287" s="11">
        <f>289.279422036*E287*F287</f>
        <v>289.279422036</v>
      </c>
      <c r="K287" s="11">
        <f>101.1467520063*E287*F287</f>
        <v>101.1467520063</v>
      </c>
      <c r="L287" s="15">
        <f t="shared" si="32"/>
        <v>0.6791281920423</v>
      </c>
      <c r="M287" s="13">
        <f t="shared" si="28"/>
        <v>679.1281920423</v>
      </c>
    </row>
    <row r="288" spans="2:13" ht="13.5" thickBot="1" thickTop="1">
      <c r="B288" s="7">
        <v>283</v>
      </c>
      <c r="C288" s="5" t="s">
        <v>410</v>
      </c>
      <c r="D288" s="5" t="s">
        <v>408</v>
      </c>
      <c r="E288" s="9">
        <v>1</v>
      </c>
      <c r="F288" s="9">
        <v>1</v>
      </c>
      <c r="G288" s="11">
        <f>236.019168*E288*F288</f>
        <v>236.019168</v>
      </c>
      <c r="H288" s="11">
        <f t="shared" si="31"/>
        <v>0</v>
      </c>
      <c r="I288" s="11">
        <f t="shared" si="27"/>
        <v>0</v>
      </c>
      <c r="J288" s="11">
        <f>236.491206336*E288*F288</f>
        <v>236.491206336</v>
      </c>
      <c r="K288" s="11">
        <f>82.6893155088*E288*F288</f>
        <v>82.6893155088</v>
      </c>
      <c r="L288" s="15">
        <f t="shared" si="32"/>
        <v>0.5551996898448</v>
      </c>
      <c r="M288" s="13">
        <f t="shared" si="28"/>
        <v>555.1996898448</v>
      </c>
    </row>
    <row r="289" spans="2:13" ht="25.5" thickBot="1" thickTop="1">
      <c r="B289" s="7">
        <v>284</v>
      </c>
      <c r="C289" s="5" t="s">
        <v>411</v>
      </c>
      <c r="D289" s="5" t="s">
        <v>403</v>
      </c>
      <c r="E289" s="9">
        <v>1</v>
      </c>
      <c r="F289" s="9">
        <v>1</v>
      </c>
      <c r="G289" s="11">
        <f>842.9256*E289*F289</f>
        <v>842.9256</v>
      </c>
      <c r="H289" s="11">
        <f t="shared" si="31"/>
        <v>0</v>
      </c>
      <c r="I289" s="11">
        <f t="shared" si="27"/>
        <v>0</v>
      </c>
      <c r="J289" s="11">
        <f>844.6114512*E289*F289</f>
        <v>844.6114512</v>
      </c>
      <c r="K289" s="11">
        <f>295.31898396*E289*F289</f>
        <v>295.31898396</v>
      </c>
      <c r="L289" s="15">
        <f t="shared" si="32"/>
        <v>1.98285603516</v>
      </c>
      <c r="M289" s="13">
        <f t="shared" si="28"/>
        <v>1982.85603516</v>
      </c>
    </row>
    <row r="290" spans="2:13" ht="25.5" thickBot="1" thickTop="1">
      <c r="B290" s="7">
        <v>285</v>
      </c>
      <c r="C290" s="5" t="s">
        <v>412</v>
      </c>
      <c r="D290" s="5" t="s">
        <v>403</v>
      </c>
      <c r="E290" s="9">
        <v>1</v>
      </c>
      <c r="F290" s="9">
        <v>1</v>
      </c>
      <c r="G290" s="11">
        <f>632.1942*E290*F290</f>
        <v>632.1942</v>
      </c>
      <c r="H290" s="11">
        <f t="shared" si="31"/>
        <v>0</v>
      </c>
      <c r="I290" s="11">
        <f t="shared" si="27"/>
        <v>0</v>
      </c>
      <c r="J290" s="11">
        <f>633.4585884*E290*F290</f>
        <v>633.4585884</v>
      </c>
      <c r="K290" s="11">
        <f>221.48923797*E290*F290</f>
        <v>221.48923797</v>
      </c>
      <c r="L290" s="15">
        <f t="shared" si="32"/>
        <v>1.4871420263700001</v>
      </c>
      <c r="M290" s="13">
        <f t="shared" si="28"/>
        <v>1487.1420263700002</v>
      </c>
    </row>
    <row r="291" spans="2:13" ht="13.5" thickBot="1" thickTop="1">
      <c r="B291" s="7">
        <v>286</v>
      </c>
      <c r="C291" s="5" t="s">
        <v>413</v>
      </c>
      <c r="D291" s="5" t="s">
        <v>414</v>
      </c>
      <c r="E291" s="9">
        <v>1</v>
      </c>
      <c r="F291" s="9">
        <v>1</v>
      </c>
      <c r="G291" s="11">
        <f>632.1942*E291*F291</f>
        <v>632.1942</v>
      </c>
      <c r="H291" s="11">
        <f t="shared" si="31"/>
        <v>0</v>
      </c>
      <c r="I291" s="11">
        <f t="shared" si="27"/>
        <v>0</v>
      </c>
      <c r="J291" s="11">
        <f>633.4585884*E291*F291</f>
        <v>633.4585884</v>
      </c>
      <c r="K291" s="11">
        <f>221.48923797*E291*F291</f>
        <v>221.48923797</v>
      </c>
      <c r="L291" s="15">
        <f t="shared" si="32"/>
        <v>1.4871420263700001</v>
      </c>
      <c r="M291" s="13">
        <f t="shared" si="28"/>
        <v>1487.1420263700002</v>
      </c>
    </row>
    <row r="292" spans="2:13" ht="13.5" thickBot="1" thickTop="1">
      <c r="B292" s="7">
        <v>287</v>
      </c>
      <c r="C292" s="5" t="s">
        <v>415</v>
      </c>
      <c r="D292" s="5" t="s">
        <v>414</v>
      </c>
      <c r="E292" s="9">
        <v>1</v>
      </c>
      <c r="F292" s="9">
        <v>1</v>
      </c>
      <c r="G292" s="11">
        <f>590.04792*E292*F292</f>
        <v>590.04792</v>
      </c>
      <c r="H292" s="11">
        <f t="shared" si="31"/>
        <v>0</v>
      </c>
      <c r="I292" s="11">
        <f t="shared" si="27"/>
        <v>0</v>
      </c>
      <c r="J292" s="11">
        <f>591.22801584*E292*F292</f>
        <v>591.22801584</v>
      </c>
      <c r="K292" s="11">
        <f>206.723288772*E292*F292</f>
        <v>206.723288772</v>
      </c>
      <c r="L292" s="15">
        <f t="shared" si="32"/>
        <v>1.3879992246119999</v>
      </c>
      <c r="M292" s="13">
        <f t="shared" si="28"/>
        <v>1387.9992246119998</v>
      </c>
    </row>
    <row r="293" spans="2:13" ht="25.5" thickBot="1" thickTop="1">
      <c r="B293" s="7">
        <v>288</v>
      </c>
      <c r="C293" s="5" t="s">
        <v>416</v>
      </c>
      <c r="D293" s="5" t="s">
        <v>414</v>
      </c>
      <c r="E293" s="9">
        <v>1</v>
      </c>
      <c r="F293" s="9">
        <v>1</v>
      </c>
      <c r="G293" s="11">
        <f>547.90164*E293*F293</f>
        <v>547.90164</v>
      </c>
      <c r="H293" s="11">
        <f t="shared" si="31"/>
        <v>0</v>
      </c>
      <c r="I293" s="11">
        <f aca="true" t="shared" si="33" ref="I293:I306">0*E293*F293</f>
        <v>0</v>
      </c>
      <c r="J293" s="11">
        <f>548.99744328*E293*F293</f>
        <v>548.99744328</v>
      </c>
      <c r="K293" s="11">
        <f>191.957339574*E293*F293</f>
        <v>191.957339574</v>
      </c>
      <c r="L293" s="15">
        <f t="shared" si="32"/>
        <v>1.2888564228539998</v>
      </c>
      <c r="M293" s="13">
        <f t="shared" si="28"/>
        <v>1288.856422854</v>
      </c>
    </row>
    <row r="294" spans="2:13" ht="25.5" thickBot="1" thickTop="1">
      <c r="B294" s="7">
        <v>289</v>
      </c>
      <c r="C294" s="5" t="s">
        <v>417</v>
      </c>
      <c r="D294" s="5" t="s">
        <v>418</v>
      </c>
      <c r="E294" s="9">
        <v>1</v>
      </c>
      <c r="F294" s="9">
        <v>1</v>
      </c>
      <c r="G294" s="11">
        <f>944.076672*E294*F294</f>
        <v>944.076672</v>
      </c>
      <c r="H294" s="11">
        <f t="shared" si="31"/>
        <v>0</v>
      </c>
      <c r="I294" s="11">
        <f t="shared" si="33"/>
        <v>0</v>
      </c>
      <c r="J294" s="11">
        <f>945.964825344*E294*F294</f>
        <v>945.964825344</v>
      </c>
      <c r="K294" s="11">
        <f>330.7572620352*E294*F294</f>
        <v>330.7572620352</v>
      </c>
      <c r="L294" s="15">
        <f>M294/F294/E294/100</f>
        <v>22.207987593791998</v>
      </c>
      <c r="M294" s="13">
        <f t="shared" si="28"/>
        <v>2220.7987593792</v>
      </c>
    </row>
    <row r="295" spans="2:13" ht="25.5" thickBot="1" thickTop="1">
      <c r="B295" s="7">
        <v>290</v>
      </c>
      <c r="C295" s="5" t="s">
        <v>419</v>
      </c>
      <c r="D295" s="5" t="s">
        <v>420</v>
      </c>
      <c r="E295" s="9">
        <v>1</v>
      </c>
      <c r="F295" s="9">
        <v>1</v>
      </c>
      <c r="G295" s="11">
        <f>1662*E295*F295</f>
        <v>1662</v>
      </c>
      <c r="H295" s="11">
        <f t="shared" si="31"/>
        <v>0</v>
      </c>
      <c r="I295" s="11">
        <f t="shared" si="33"/>
        <v>0</v>
      </c>
      <c r="J295" s="11">
        <f>1665.324*E295*F295</f>
        <v>1665.324</v>
      </c>
      <c r="K295" s="11">
        <f>582.2817*E295*F295</f>
        <v>582.2817</v>
      </c>
      <c r="L295" s="15">
        <f aca="true" t="shared" si="34" ref="L295:L302">M295/F295/E295/100</f>
        <v>39.096057</v>
      </c>
      <c r="M295" s="13">
        <f t="shared" si="28"/>
        <v>3909.6057</v>
      </c>
    </row>
    <row r="296" spans="2:13" ht="13.5" thickBot="1" thickTop="1">
      <c r="B296" s="7">
        <v>291</v>
      </c>
      <c r="C296" s="5" t="s">
        <v>421</v>
      </c>
      <c r="D296" s="5" t="s">
        <v>422</v>
      </c>
      <c r="E296" s="9">
        <v>1</v>
      </c>
      <c r="F296" s="9">
        <v>1</v>
      </c>
      <c r="G296" s="11">
        <f>24.099*E296*F296</f>
        <v>24.099</v>
      </c>
      <c r="H296" s="11">
        <f t="shared" si="31"/>
        <v>0</v>
      </c>
      <c r="I296" s="11">
        <f t="shared" si="33"/>
        <v>0</v>
      </c>
      <c r="J296" s="11">
        <f>24.147198*E296*F296</f>
        <v>24.147198</v>
      </c>
      <c r="K296" s="11">
        <f>8.44308465*E296*F296</f>
        <v>8.44308465</v>
      </c>
      <c r="L296" s="15">
        <f t="shared" si="34"/>
        <v>0.5668928265</v>
      </c>
      <c r="M296" s="13">
        <f t="shared" si="28"/>
        <v>56.689282649999996</v>
      </c>
    </row>
    <row r="297" spans="2:13" ht="37.5" thickBot="1" thickTop="1">
      <c r="B297" s="7">
        <v>292</v>
      </c>
      <c r="C297" s="5" t="s">
        <v>423</v>
      </c>
      <c r="D297" s="5" t="s">
        <v>424</v>
      </c>
      <c r="E297" s="9">
        <v>1</v>
      </c>
      <c r="F297" s="9">
        <v>1</v>
      </c>
      <c r="G297" s="11">
        <f>6617.6979*E297*F297</f>
        <v>6617.6979</v>
      </c>
      <c r="H297" s="11">
        <f>1144.2772692*E297*F297</f>
        <v>1144.2772692</v>
      </c>
      <c r="I297" s="11">
        <f t="shared" si="33"/>
        <v>0</v>
      </c>
      <c r="J297" s="11">
        <f>6630.9332958*E297*F297</f>
        <v>6630.9332958</v>
      </c>
      <c r="K297" s="11">
        <f>2518.758981375*E297*F297</f>
        <v>2518.758981375</v>
      </c>
      <c r="L297" s="15">
        <f t="shared" si="34"/>
        <v>169.11667446375003</v>
      </c>
      <c r="M297" s="13">
        <f t="shared" si="28"/>
        <v>16911.667446375002</v>
      </c>
    </row>
    <row r="298" spans="2:13" ht="25.5" thickBot="1" thickTop="1">
      <c r="B298" s="7">
        <v>293</v>
      </c>
      <c r="C298" s="5" t="s">
        <v>425</v>
      </c>
      <c r="D298" s="5" t="s">
        <v>403</v>
      </c>
      <c r="E298" s="9">
        <v>1</v>
      </c>
      <c r="F298" s="9">
        <v>1</v>
      </c>
      <c r="G298" s="11">
        <f>784.78092*E298*F298</f>
        <v>784.78092</v>
      </c>
      <c r="H298" s="11">
        <f>0*E298*F298</f>
        <v>0</v>
      </c>
      <c r="I298" s="11">
        <f t="shared" si="33"/>
        <v>0</v>
      </c>
      <c r="J298" s="11">
        <f>786.35048184*E298*F298</f>
        <v>786.35048184</v>
      </c>
      <c r="K298" s="11">
        <f>274.947995322*E298*F298</f>
        <v>274.947995322</v>
      </c>
      <c r="L298" s="15">
        <f>M298/F298/E298/1000</f>
        <v>1.846079397162</v>
      </c>
      <c r="M298" s="13">
        <f t="shared" si="28"/>
        <v>1846.079397162</v>
      </c>
    </row>
    <row r="299" spans="2:13" ht="25.5" thickBot="1" thickTop="1">
      <c r="B299" s="7">
        <v>294</v>
      </c>
      <c r="C299" s="5" t="s">
        <v>426</v>
      </c>
      <c r="D299" s="5" t="s">
        <v>427</v>
      </c>
      <c r="E299" s="9">
        <v>1</v>
      </c>
      <c r="F299" s="9">
        <v>1</v>
      </c>
      <c r="G299" s="11">
        <f>701.91*E299*F299</f>
        <v>701.91</v>
      </c>
      <c r="H299" s="11">
        <f>0*E299*F299</f>
        <v>0</v>
      </c>
      <c r="I299" s="11">
        <f t="shared" si="33"/>
        <v>0</v>
      </c>
      <c r="J299" s="11">
        <f>703.31382*E299*F299</f>
        <v>703.31382</v>
      </c>
      <c r="K299" s="11">
        <f>245.9141685*E299*F299</f>
        <v>245.9141685</v>
      </c>
      <c r="L299" s="15">
        <f t="shared" si="34"/>
        <v>16.511379885</v>
      </c>
      <c r="M299" s="13">
        <f t="shared" si="28"/>
        <v>1651.1379885</v>
      </c>
    </row>
    <row r="300" spans="2:13" ht="13.5" thickBot="1" thickTop="1">
      <c r="B300" s="7">
        <v>295</v>
      </c>
      <c r="C300" s="5" t="s">
        <v>428</v>
      </c>
      <c r="D300" s="5" t="s">
        <v>429</v>
      </c>
      <c r="E300" s="9">
        <v>1</v>
      </c>
      <c r="F300" s="9">
        <v>1</v>
      </c>
      <c r="G300" s="11">
        <f>38.995*E300*F300</f>
        <v>38.995</v>
      </c>
      <c r="H300" s="11">
        <f>0*E300*F300</f>
        <v>0</v>
      </c>
      <c r="I300" s="11">
        <f t="shared" si="33"/>
        <v>0</v>
      </c>
      <c r="J300" s="11">
        <f>39.07299*E300*F300</f>
        <v>39.07299</v>
      </c>
      <c r="K300" s="11">
        <f>13.66189825*E300*F300</f>
        <v>13.66189825</v>
      </c>
      <c r="L300" s="15">
        <f>M300/F300/E300</f>
        <v>91.72988824999999</v>
      </c>
      <c r="M300" s="13">
        <f t="shared" si="28"/>
        <v>91.72988824999999</v>
      </c>
    </row>
    <row r="301" spans="2:13" ht="13.5" thickBot="1" thickTop="1">
      <c r="B301" s="7">
        <v>296</v>
      </c>
      <c r="C301" s="5" t="s">
        <v>430</v>
      </c>
      <c r="D301" s="5" t="s">
        <v>92</v>
      </c>
      <c r="E301" s="9">
        <v>1</v>
      </c>
      <c r="F301" s="9">
        <v>1</v>
      </c>
      <c r="G301" s="11">
        <f>934.263*E301*F301</f>
        <v>934.263</v>
      </c>
      <c r="H301" s="11">
        <f>583.46856*E301*F301</f>
        <v>583.46856</v>
      </c>
      <c r="I301" s="11">
        <f t="shared" si="33"/>
        <v>0</v>
      </c>
      <c r="J301" s="11">
        <f>936.131526*E301*F301</f>
        <v>936.131526</v>
      </c>
      <c r="K301" s="11">
        <f>429.42604005*E301*F301</f>
        <v>429.42604005</v>
      </c>
      <c r="L301" s="15">
        <f t="shared" si="34"/>
        <v>28.832891260500002</v>
      </c>
      <c r="M301" s="13">
        <f t="shared" si="28"/>
        <v>2883.28912605</v>
      </c>
    </row>
    <row r="302" spans="2:13" ht="13.5" thickBot="1" thickTop="1">
      <c r="B302" s="7">
        <v>297</v>
      </c>
      <c r="C302" s="5" t="s">
        <v>431</v>
      </c>
      <c r="D302" s="5" t="s">
        <v>92</v>
      </c>
      <c r="E302" s="9">
        <v>1</v>
      </c>
      <c r="F302" s="9">
        <v>1</v>
      </c>
      <c r="G302" s="11">
        <f>373.7052*E302*F302</f>
        <v>373.7052</v>
      </c>
      <c r="H302" s="11">
        <f aca="true" t="shared" si="35" ref="H302:H307">0*E302*F302</f>
        <v>0</v>
      </c>
      <c r="I302" s="11">
        <f t="shared" si="33"/>
        <v>0</v>
      </c>
      <c r="J302" s="11">
        <f>374.4526104*E302*F302</f>
        <v>374.4526104</v>
      </c>
      <c r="K302" s="11">
        <f>130.92761682*E302*F302</f>
        <v>130.92761682</v>
      </c>
      <c r="L302" s="15">
        <f t="shared" si="34"/>
        <v>8.7908542722</v>
      </c>
      <c r="M302" s="13">
        <f t="shared" si="28"/>
        <v>879.08542722</v>
      </c>
    </row>
    <row r="303" spans="2:13" ht="13.5" thickBot="1" thickTop="1">
      <c r="B303" s="7">
        <v>298</v>
      </c>
      <c r="C303" s="5" t="s">
        <v>432</v>
      </c>
      <c r="D303" s="5" t="s">
        <v>433</v>
      </c>
      <c r="E303" s="9">
        <v>1</v>
      </c>
      <c r="F303" s="9">
        <v>1</v>
      </c>
      <c r="G303" s="11">
        <f>19.7574664067*E303*F303</f>
        <v>19.7574664067</v>
      </c>
      <c r="H303" s="11">
        <f t="shared" si="35"/>
        <v>0</v>
      </c>
      <c r="I303" s="11">
        <f t="shared" si="33"/>
        <v>0</v>
      </c>
      <c r="J303" s="11">
        <f>19.796981339513*E303*F303</f>
        <v>19.796981339513</v>
      </c>
      <c r="K303" s="11">
        <f>6.9220283555873*E303*F303</f>
        <v>6.9220283555873</v>
      </c>
      <c r="L303" s="15">
        <f>M303/F303/E303</f>
        <v>46.4764761018003</v>
      </c>
      <c r="M303" s="13">
        <f t="shared" si="28"/>
        <v>46.4764761018003</v>
      </c>
    </row>
    <row r="304" spans="2:13" ht="25.5" thickBot="1" thickTop="1">
      <c r="B304" s="7">
        <v>299</v>
      </c>
      <c r="C304" s="5" t="s">
        <v>434</v>
      </c>
      <c r="D304" s="5" t="s">
        <v>403</v>
      </c>
      <c r="E304" s="9">
        <v>1</v>
      </c>
      <c r="F304" s="9">
        <v>1</v>
      </c>
      <c r="G304" s="11">
        <f>277*E304*F304</f>
        <v>277</v>
      </c>
      <c r="H304" s="11">
        <f t="shared" si="35"/>
        <v>0</v>
      </c>
      <c r="I304" s="11">
        <f t="shared" si="33"/>
        <v>0</v>
      </c>
      <c r="J304" s="11">
        <f>277.554*E304*F304</f>
        <v>277.554</v>
      </c>
      <c r="K304" s="11">
        <f>97.04695*E304*F304</f>
        <v>97.04695</v>
      </c>
      <c r="L304" s="15">
        <f>M304/F304/E304/1000</f>
        <v>0.65160095</v>
      </c>
      <c r="M304" s="13">
        <f t="shared" si="28"/>
        <v>651.60095</v>
      </c>
    </row>
    <row r="305" spans="2:13" ht="37.5" thickBot="1" thickTop="1">
      <c r="B305" s="7">
        <v>300</v>
      </c>
      <c r="C305" s="5" t="s">
        <v>435</v>
      </c>
      <c r="D305" s="5" t="s">
        <v>436</v>
      </c>
      <c r="E305" s="9">
        <v>1</v>
      </c>
      <c r="F305" s="9">
        <v>1</v>
      </c>
      <c r="G305" s="11">
        <f>110.8*E305*F305</f>
        <v>110.8</v>
      </c>
      <c r="H305" s="11">
        <f t="shared" si="35"/>
        <v>0</v>
      </c>
      <c r="I305" s="11">
        <f t="shared" si="33"/>
        <v>0</v>
      </c>
      <c r="J305" s="11">
        <f>111.0216*E305*F305</f>
        <v>111.0216</v>
      </c>
      <c r="K305" s="11">
        <f>38.81878*E305*F305</f>
        <v>38.81878</v>
      </c>
      <c r="L305" s="15">
        <f>M305/F305/E305/1000</f>
        <v>0.26064038</v>
      </c>
      <c r="M305" s="13">
        <f t="shared" si="28"/>
        <v>260.64038</v>
      </c>
    </row>
    <row r="306" spans="2:13" ht="13.5" thickBot="1" thickTop="1">
      <c r="B306" s="7">
        <v>301</v>
      </c>
      <c r="C306" s="5" t="s">
        <v>437</v>
      </c>
      <c r="D306" s="5" t="s">
        <v>438</v>
      </c>
      <c r="E306" s="9">
        <v>1</v>
      </c>
      <c r="F306" s="9">
        <v>1</v>
      </c>
      <c r="G306" s="11">
        <f>747.4104*E306*F306</f>
        <v>747.4104</v>
      </c>
      <c r="H306" s="11">
        <f t="shared" si="35"/>
        <v>0</v>
      </c>
      <c r="I306" s="11">
        <f t="shared" si="33"/>
        <v>0</v>
      </c>
      <c r="J306" s="11">
        <f>748.9052208*E306*F306</f>
        <v>748.9052208</v>
      </c>
      <c r="K306" s="11">
        <f>261.85523364*E306*F306</f>
        <v>261.85523364</v>
      </c>
      <c r="L306" s="15">
        <f>M306/F306/E306</f>
        <v>1758.17085444</v>
      </c>
      <c r="M306" s="13">
        <f t="shared" si="28"/>
        <v>1758.17085444</v>
      </c>
    </row>
    <row r="307" spans="2:13" ht="25.5" thickBot="1" thickTop="1">
      <c r="B307" s="7">
        <v>302</v>
      </c>
      <c r="C307" s="5" t="s">
        <v>439</v>
      </c>
      <c r="D307" s="5" t="s">
        <v>212</v>
      </c>
      <c r="E307" s="9">
        <v>1</v>
      </c>
      <c r="F307" s="9">
        <v>1</v>
      </c>
      <c r="G307" s="11">
        <f>784.08*E307*F307</f>
        <v>784.08</v>
      </c>
      <c r="H307" s="11">
        <f t="shared" si="35"/>
        <v>0</v>
      </c>
      <c r="I307" s="11">
        <f>54.5337*E307*F307</f>
        <v>54.5337</v>
      </c>
      <c r="J307" s="11">
        <f>785.64816*E307*F307</f>
        <v>785.64816</v>
      </c>
      <c r="K307" s="11">
        <f>284.2458255*E307*F307</f>
        <v>284.2458255</v>
      </c>
      <c r="L307" s="15">
        <f aca="true" t="shared" si="36" ref="L307:L327">M307/F307/E307/100</f>
        <v>19.085076855</v>
      </c>
      <c r="M307" s="13">
        <f t="shared" si="28"/>
        <v>1908.5076855000002</v>
      </c>
    </row>
    <row r="308" spans="2:13" ht="25.5" thickBot="1" thickTop="1">
      <c r="B308" s="7">
        <v>303</v>
      </c>
      <c r="C308" s="5" t="s">
        <v>440</v>
      </c>
      <c r="D308" s="5" t="s">
        <v>212</v>
      </c>
      <c r="E308" s="9">
        <v>1</v>
      </c>
      <c r="F308" s="9">
        <v>1</v>
      </c>
      <c r="G308" s="11">
        <f>734.184*E308*F308</f>
        <v>734.184</v>
      </c>
      <c r="H308" s="11">
        <f>8.995616028*E308*F308</f>
        <v>8.995616028</v>
      </c>
      <c r="I308" s="11">
        <f>0*E308*F308</f>
        <v>0</v>
      </c>
      <c r="J308" s="11">
        <f>735.652368*E308*F308</f>
        <v>735.652368</v>
      </c>
      <c r="K308" s="11">
        <f>258.7955972049*E308*F308</f>
        <v>258.7955972049</v>
      </c>
      <c r="L308" s="15">
        <f t="shared" si="36"/>
        <v>17.376275812329</v>
      </c>
      <c r="M308" s="13">
        <f t="shared" si="28"/>
        <v>1737.6275812329</v>
      </c>
    </row>
    <row r="309" spans="2:13" ht="25.5" thickBot="1" thickTop="1">
      <c r="B309" s="7">
        <v>304</v>
      </c>
      <c r="C309" s="5" t="s">
        <v>441</v>
      </c>
      <c r="D309" s="5" t="s">
        <v>212</v>
      </c>
      <c r="E309" s="9">
        <v>1</v>
      </c>
      <c r="F309" s="9">
        <v>1</v>
      </c>
      <c r="G309" s="11">
        <f>308.879997624*E309*F309</f>
        <v>308.879997624</v>
      </c>
      <c r="H309" s="11">
        <f>0*E309*F309</f>
        <v>0</v>
      </c>
      <c r="I309" s="11">
        <f>54.5337*E309*F309</f>
        <v>54.5337</v>
      </c>
      <c r="J309" s="11">
        <f>309.49775761925*E309*F309</f>
        <v>309.49775761925</v>
      </c>
      <c r="K309" s="11">
        <f>117.75950466757*E309*F309</f>
        <v>117.75950466757</v>
      </c>
      <c r="L309" s="15">
        <f t="shared" si="36"/>
        <v>7.9067095991082</v>
      </c>
      <c r="M309" s="13">
        <f t="shared" si="28"/>
        <v>790.67095991082</v>
      </c>
    </row>
    <row r="310" spans="2:13" ht="25.5" thickBot="1" thickTop="1">
      <c r="B310" s="7">
        <v>305</v>
      </c>
      <c r="C310" s="5" t="s">
        <v>442</v>
      </c>
      <c r="D310" s="5" t="s">
        <v>212</v>
      </c>
      <c r="E310" s="9">
        <v>1</v>
      </c>
      <c r="F310" s="9">
        <v>1</v>
      </c>
      <c r="G310" s="11">
        <f>22.422312*E310*F310</f>
        <v>22.422312</v>
      </c>
      <c r="H310" s="11">
        <f>0*E310*F310</f>
        <v>0</v>
      </c>
      <c r="I310" s="11">
        <f aca="true" t="shared" si="37" ref="I310:I341">0*E310*F310</f>
        <v>0</v>
      </c>
      <c r="J310" s="11">
        <f>22.467156624*E310*F310</f>
        <v>22.467156624</v>
      </c>
      <c r="K310" s="11">
        <f>7.8556570092*E310*F310</f>
        <v>7.8556570092</v>
      </c>
      <c r="L310" s="15">
        <f t="shared" si="36"/>
        <v>0.5274512563320001</v>
      </c>
      <c r="M310" s="13">
        <f t="shared" si="28"/>
        <v>52.745125633200004</v>
      </c>
    </row>
    <row r="311" spans="2:13" ht="25.5" thickBot="1" thickTop="1">
      <c r="B311" s="7">
        <v>306</v>
      </c>
      <c r="C311" s="5" t="s">
        <v>443</v>
      </c>
      <c r="D311" s="5" t="s">
        <v>444</v>
      </c>
      <c r="E311" s="9">
        <v>1</v>
      </c>
      <c r="F311" s="9">
        <v>1</v>
      </c>
      <c r="G311" s="11">
        <f>93.330381*E311*F311</f>
        <v>93.330381</v>
      </c>
      <c r="H311" s="11">
        <f>0*E311*F311</f>
        <v>0</v>
      </c>
      <c r="I311" s="11">
        <f t="shared" si="37"/>
        <v>0</v>
      </c>
      <c r="J311" s="11">
        <f>93.517041762*E311*F311</f>
        <v>93.517041762</v>
      </c>
      <c r="K311" s="11">
        <f>32.69829898335*E311*F311</f>
        <v>32.69829898335</v>
      </c>
      <c r="L311" s="15">
        <f>M311/F311/E311/10</f>
        <v>21.954572174535002</v>
      </c>
      <c r="M311" s="13">
        <f t="shared" si="28"/>
        <v>219.54572174535002</v>
      </c>
    </row>
    <row r="312" spans="2:13" ht="25.5" thickBot="1" thickTop="1">
      <c r="B312" s="7">
        <v>307</v>
      </c>
      <c r="C312" s="5" t="s">
        <v>445</v>
      </c>
      <c r="D312" s="5" t="s">
        <v>257</v>
      </c>
      <c r="E312" s="9">
        <v>1</v>
      </c>
      <c r="F312" s="9">
        <v>1</v>
      </c>
      <c r="G312" s="11">
        <f>8968.9248*E312*F312</f>
        <v>8968.9248</v>
      </c>
      <c r="H312" s="11">
        <f>236.28472992*E312*F312</f>
        <v>236.28472992</v>
      </c>
      <c r="I312" s="11">
        <f t="shared" si="37"/>
        <v>0</v>
      </c>
      <c r="J312" s="11">
        <f>8986.8626496*E312*F312</f>
        <v>8986.8626496</v>
      </c>
      <c r="K312" s="11">
        <f>3183.612631416*E312*F312</f>
        <v>3183.612631416</v>
      </c>
      <c r="L312" s="15">
        <f t="shared" si="36"/>
        <v>213.75684810936</v>
      </c>
      <c r="M312" s="13">
        <f t="shared" si="28"/>
        <v>21375.684810936</v>
      </c>
    </row>
    <row r="313" spans="2:13" ht="25.5" thickBot="1" thickTop="1">
      <c r="B313" s="7">
        <v>308</v>
      </c>
      <c r="C313" s="5" t="s">
        <v>446</v>
      </c>
      <c r="D313" s="5" t="s">
        <v>257</v>
      </c>
      <c r="E313" s="9">
        <v>1</v>
      </c>
      <c r="F313" s="9">
        <v>1</v>
      </c>
      <c r="G313" s="11">
        <f>13453.3872*E313*F313</f>
        <v>13453.3872</v>
      </c>
      <c r="H313" s="11">
        <f>378.67503672*E313*F313</f>
        <v>378.67503672</v>
      </c>
      <c r="I313" s="11">
        <f t="shared" si="37"/>
        <v>0</v>
      </c>
      <c r="J313" s="11">
        <f>13480.2939744*E313*F313</f>
        <v>13480.2939744</v>
      </c>
      <c r="K313" s="11">
        <f>4779.662336946*E313*F313</f>
        <v>4779.662336946</v>
      </c>
      <c r="L313" s="15">
        <f t="shared" si="36"/>
        <v>320.92018548066</v>
      </c>
      <c r="M313" s="13">
        <f t="shared" si="28"/>
        <v>32092.018548066</v>
      </c>
    </row>
    <row r="314" spans="2:13" ht="25.5" thickBot="1" thickTop="1">
      <c r="B314" s="7">
        <v>309</v>
      </c>
      <c r="C314" s="5" t="s">
        <v>447</v>
      </c>
      <c r="D314" s="5" t="s">
        <v>257</v>
      </c>
      <c r="E314" s="9">
        <v>1</v>
      </c>
      <c r="F314" s="9">
        <v>1</v>
      </c>
      <c r="G314" s="11">
        <f>13453.3872*E314*F314</f>
        <v>13453.3872</v>
      </c>
      <c r="H314" s="11">
        <f>597.54814632*E314*F314</f>
        <v>597.54814632</v>
      </c>
      <c r="I314" s="11">
        <f t="shared" si="37"/>
        <v>0</v>
      </c>
      <c r="J314" s="11">
        <f>13480.2939744*E314*F314</f>
        <v>13480.2939744</v>
      </c>
      <c r="K314" s="11">
        <f>4817.965131126*E314*F314</f>
        <v>4817.965131126</v>
      </c>
      <c r="L314" s="15">
        <f t="shared" si="36"/>
        <v>323.49194451846</v>
      </c>
      <c r="M314" s="13">
        <f t="shared" si="28"/>
        <v>32349.194451846</v>
      </c>
    </row>
    <row r="315" spans="2:13" ht="25.5" thickBot="1" thickTop="1">
      <c r="B315" s="7">
        <v>310</v>
      </c>
      <c r="C315" s="5" t="s">
        <v>448</v>
      </c>
      <c r="D315" s="5" t="s">
        <v>261</v>
      </c>
      <c r="E315" s="9">
        <v>1</v>
      </c>
      <c r="F315" s="9">
        <v>1</v>
      </c>
      <c r="G315" s="11">
        <f>4858.1676*E315*F315</f>
        <v>4858.1676</v>
      </c>
      <c r="H315" s="11">
        <f>184.04986896*E315*F315</f>
        <v>184.04986896</v>
      </c>
      <c r="I315" s="11">
        <f t="shared" si="37"/>
        <v>0</v>
      </c>
      <c r="J315" s="11">
        <f>4867.8839352*E315*F315</f>
        <v>4867.8839352</v>
      </c>
      <c r="K315" s="11">
        <f>1734.267745728*E315*F315</f>
        <v>1734.267745728</v>
      </c>
      <c r="L315" s="15">
        <f t="shared" si="36"/>
        <v>116.44369149888</v>
      </c>
      <c r="M315" s="13">
        <f t="shared" si="28"/>
        <v>11644.369149888</v>
      </c>
    </row>
    <row r="316" spans="2:13" ht="25.5" thickBot="1" thickTop="1">
      <c r="B316" s="7">
        <v>311</v>
      </c>
      <c r="C316" s="5" t="s">
        <v>449</v>
      </c>
      <c r="D316" s="5" t="s">
        <v>261</v>
      </c>
      <c r="E316" s="9">
        <v>1</v>
      </c>
      <c r="F316" s="9">
        <v>1</v>
      </c>
      <c r="G316" s="11">
        <f>7287.2514*E316*F316</f>
        <v>7287.2514</v>
      </c>
      <c r="H316" s="11">
        <f>218.8731096*E316*F316</f>
        <v>218.8731096</v>
      </c>
      <c r="I316" s="11">
        <f t="shared" si="37"/>
        <v>0</v>
      </c>
      <c r="J316" s="11">
        <f>7301.8259028*E316*F316</f>
        <v>7301.8259028</v>
      </c>
      <c r="K316" s="11">
        <f>2591.39132217*E316*F316</f>
        <v>2591.39132217</v>
      </c>
      <c r="L316" s="15">
        <f t="shared" si="36"/>
        <v>173.9934173457</v>
      </c>
      <c r="M316" s="13">
        <f t="shared" si="28"/>
        <v>17399.34173457</v>
      </c>
    </row>
    <row r="317" spans="2:13" ht="25.5" thickBot="1" thickTop="1">
      <c r="B317" s="7">
        <v>312</v>
      </c>
      <c r="C317" s="5" t="s">
        <v>450</v>
      </c>
      <c r="D317" s="5" t="s">
        <v>261</v>
      </c>
      <c r="E317" s="9">
        <v>1</v>
      </c>
      <c r="F317" s="9">
        <v>1</v>
      </c>
      <c r="G317" s="11">
        <f>7287.2514*E317*F317</f>
        <v>7287.2514</v>
      </c>
      <c r="H317" s="11">
        <f>427.1709204*E317*F317</f>
        <v>427.1709204</v>
      </c>
      <c r="I317" s="11">
        <f t="shared" si="37"/>
        <v>0</v>
      </c>
      <c r="J317" s="11">
        <f>7301.8259028*E317*F317</f>
        <v>7301.8259028</v>
      </c>
      <c r="K317" s="11">
        <f>2627.84343906*E317*F317</f>
        <v>2627.84343906</v>
      </c>
      <c r="L317" s="15">
        <f t="shared" si="36"/>
        <v>176.4409166226</v>
      </c>
      <c r="M317" s="13">
        <f t="shared" si="28"/>
        <v>17644.09166226</v>
      </c>
    </row>
    <row r="318" spans="2:13" ht="25.5" thickBot="1" thickTop="1">
      <c r="B318" s="7">
        <v>313</v>
      </c>
      <c r="C318" s="5" t="s">
        <v>451</v>
      </c>
      <c r="D318" s="5" t="s">
        <v>452</v>
      </c>
      <c r="E318" s="9">
        <v>1</v>
      </c>
      <c r="F318" s="9">
        <v>1</v>
      </c>
      <c r="G318" s="11">
        <f>29.896416*E318*F318</f>
        <v>29.896416</v>
      </c>
      <c r="H318" s="11">
        <f>41.039155728*E318*F318</f>
        <v>41.039155728</v>
      </c>
      <c r="I318" s="11">
        <f t="shared" si="37"/>
        <v>0</v>
      </c>
      <c r="J318" s="11">
        <f>29.956208832*E318*F318</f>
        <v>29.956208832</v>
      </c>
      <c r="K318" s="11">
        <f>17.656061598*E318*F318</f>
        <v>17.656061598</v>
      </c>
      <c r="L318" s="15">
        <f>M318/F318/E318</f>
        <v>118.54784215800001</v>
      </c>
      <c r="M318" s="13">
        <f t="shared" si="28"/>
        <v>118.54784215800001</v>
      </c>
    </row>
    <row r="319" spans="2:13" ht="13.5" thickBot="1" thickTop="1">
      <c r="B319" s="7">
        <v>314</v>
      </c>
      <c r="C319" s="5" t="s">
        <v>453</v>
      </c>
      <c r="D319" s="5" t="s">
        <v>454</v>
      </c>
      <c r="E319" s="9">
        <v>1</v>
      </c>
      <c r="F319" s="9">
        <v>1</v>
      </c>
      <c r="G319" s="11">
        <f>858.7*E319*F319</f>
        <v>858.7</v>
      </c>
      <c r="H319" s="11">
        <f>435.026011392*E319*F319</f>
        <v>435.026011392</v>
      </c>
      <c r="I319" s="11">
        <f t="shared" si="37"/>
        <v>0</v>
      </c>
      <c r="J319" s="11">
        <f>860.4174*E319*F319</f>
        <v>860.4174</v>
      </c>
      <c r="K319" s="11">
        <f>376.9750969936*E319*F319</f>
        <v>376.9750969936</v>
      </c>
      <c r="L319" s="15">
        <f t="shared" si="36"/>
        <v>25.311185083856003</v>
      </c>
      <c r="M319" s="13">
        <f t="shared" si="28"/>
        <v>2531.1185083856003</v>
      </c>
    </row>
    <row r="320" spans="2:13" ht="25.5" thickBot="1" thickTop="1">
      <c r="B320" s="7">
        <v>315</v>
      </c>
      <c r="C320" s="5" t="s">
        <v>455</v>
      </c>
      <c r="D320" s="5" t="s">
        <v>227</v>
      </c>
      <c r="E320" s="9">
        <v>1</v>
      </c>
      <c r="F320" s="9">
        <v>1</v>
      </c>
      <c r="G320" s="11">
        <f>5956.824*E320*F320</f>
        <v>5956.824</v>
      </c>
      <c r="H320" s="11">
        <f>13225.76808192*E320*F320</f>
        <v>13225.76808192</v>
      </c>
      <c r="I320" s="11">
        <f t="shared" si="37"/>
        <v>0</v>
      </c>
      <c r="J320" s="11">
        <f>5968.737648*E320*F320</f>
        <v>5968.737648</v>
      </c>
      <c r="K320" s="11">
        <f>4401.482702736*E320*F320</f>
        <v>4401.482702736</v>
      </c>
      <c r="L320" s="15">
        <f t="shared" si="36"/>
        <v>295.52812432656</v>
      </c>
      <c r="M320" s="13">
        <f t="shared" si="28"/>
        <v>29552.812432656</v>
      </c>
    </row>
    <row r="321" spans="2:13" ht="13.5" thickBot="1" thickTop="1">
      <c r="B321" s="7">
        <v>316</v>
      </c>
      <c r="C321" s="5" t="s">
        <v>456</v>
      </c>
      <c r="D321" s="5" t="s">
        <v>227</v>
      </c>
      <c r="E321" s="9">
        <v>1</v>
      </c>
      <c r="F321" s="9">
        <v>1</v>
      </c>
      <c r="G321" s="11">
        <f>0*E321*F321</f>
        <v>0</v>
      </c>
      <c r="H321" s="11">
        <f>6411.517210944*E321*F321</f>
        <v>6411.517210944</v>
      </c>
      <c r="I321" s="11">
        <f t="shared" si="37"/>
        <v>0</v>
      </c>
      <c r="J321" s="11">
        <f>0*E321*F321</f>
        <v>0</v>
      </c>
      <c r="K321" s="11">
        <f>1122.0155119152*E321*F321</f>
        <v>1122.0155119152</v>
      </c>
      <c r="L321" s="15">
        <f t="shared" si="36"/>
        <v>75.33532722859199</v>
      </c>
      <c r="M321" s="13">
        <f t="shared" si="28"/>
        <v>7533.5327228592</v>
      </c>
    </row>
    <row r="322" spans="2:13" ht="25.5" thickBot="1" thickTop="1">
      <c r="B322" s="7">
        <v>317</v>
      </c>
      <c r="C322" s="5" t="s">
        <v>457</v>
      </c>
      <c r="D322" s="5" t="s">
        <v>458</v>
      </c>
      <c r="E322" s="9">
        <v>1</v>
      </c>
      <c r="F322" s="9">
        <v>1</v>
      </c>
      <c r="G322" s="11">
        <f>10463.7456*E322*F322</f>
        <v>10463.7456</v>
      </c>
      <c r="H322" s="11">
        <f>0*E322*F322</f>
        <v>0</v>
      </c>
      <c r="I322" s="11">
        <f t="shared" si="37"/>
        <v>0</v>
      </c>
      <c r="J322" s="11">
        <f>10484.6730912*E322*F322</f>
        <v>10484.6730912</v>
      </c>
      <c r="K322" s="11">
        <f>3665.97327096*E322*F322</f>
        <v>3665.97327096</v>
      </c>
      <c r="L322" s="15">
        <f t="shared" si="36"/>
        <v>246.1439196216</v>
      </c>
      <c r="M322" s="13">
        <f t="shared" si="28"/>
        <v>24614.39196216</v>
      </c>
    </row>
    <row r="323" spans="2:13" ht="25.5" thickBot="1" thickTop="1">
      <c r="B323" s="7">
        <v>318</v>
      </c>
      <c r="C323" s="5" t="s">
        <v>459</v>
      </c>
      <c r="D323" s="5" t="s">
        <v>224</v>
      </c>
      <c r="E323" s="9">
        <v>1</v>
      </c>
      <c r="F323" s="9">
        <v>1</v>
      </c>
      <c r="G323" s="11">
        <f>3550.1994*E323*F323</f>
        <v>3550.1994</v>
      </c>
      <c r="H323" s="11">
        <f>0*E323*F323</f>
        <v>0</v>
      </c>
      <c r="I323" s="11">
        <f t="shared" si="37"/>
        <v>0</v>
      </c>
      <c r="J323" s="11">
        <f>3557.2997988*E323*F323</f>
        <v>3557.2997988</v>
      </c>
      <c r="K323" s="11">
        <f>1243.81235979*E323*F323</f>
        <v>1243.81235979</v>
      </c>
      <c r="L323" s="15">
        <f t="shared" si="36"/>
        <v>83.5131155859</v>
      </c>
      <c r="M323" s="13">
        <f t="shared" si="28"/>
        <v>8351.31155859</v>
      </c>
    </row>
    <row r="324" spans="2:13" ht="13.5" thickBot="1" thickTop="1">
      <c r="B324" s="7">
        <v>319</v>
      </c>
      <c r="C324" s="5" t="s">
        <v>460</v>
      </c>
      <c r="D324" s="5" t="s">
        <v>257</v>
      </c>
      <c r="E324" s="9">
        <v>1</v>
      </c>
      <c r="F324" s="9">
        <v>1</v>
      </c>
      <c r="G324" s="11">
        <f>9342.63*E324*F324</f>
        <v>9342.63</v>
      </c>
      <c r="H324" s="11">
        <f>10910.05097616*E324*F324</f>
        <v>10910.05097616</v>
      </c>
      <c r="I324" s="11">
        <f t="shared" si="37"/>
        <v>0</v>
      </c>
      <c r="J324" s="11">
        <f>9361.31526*E324*F324</f>
        <v>9361.31526</v>
      </c>
      <c r="K324" s="11">
        <f>5182.449341328*E324*F324</f>
        <v>5182.449341328</v>
      </c>
      <c r="L324" s="15">
        <f t="shared" si="36"/>
        <v>347.96445577488004</v>
      </c>
      <c r="M324" s="13">
        <f t="shared" si="28"/>
        <v>34796.445577488004</v>
      </c>
    </row>
    <row r="325" spans="2:13" ht="25.5" thickBot="1" thickTop="1">
      <c r="B325" s="7">
        <v>320</v>
      </c>
      <c r="C325" s="5" t="s">
        <v>461</v>
      </c>
      <c r="D325" s="5" t="s">
        <v>212</v>
      </c>
      <c r="E325" s="9">
        <v>1</v>
      </c>
      <c r="F325" s="9">
        <v>1</v>
      </c>
      <c r="G325" s="11">
        <f>5902.2711*E325*F325</f>
        <v>5902.2711</v>
      </c>
      <c r="H325" s="11">
        <f>5413.24415016*E325*F325</f>
        <v>5413.24415016</v>
      </c>
      <c r="I325" s="11">
        <f t="shared" si="37"/>
        <v>0</v>
      </c>
      <c r="J325" s="11">
        <f>5914.0756422*E325*F325</f>
        <v>5914.0756422</v>
      </c>
      <c r="K325" s="11">
        <f>3015.178406163*E325*F325</f>
        <v>3015.178406163</v>
      </c>
      <c r="L325" s="15">
        <f t="shared" si="36"/>
        <v>202.44769298523</v>
      </c>
      <c r="M325" s="13">
        <f aca="true" t="shared" si="38" ref="M325:M360">SUM(G325:K325)</f>
        <v>20244.769298523</v>
      </c>
    </row>
    <row r="326" spans="2:13" ht="25.5" thickBot="1" thickTop="1">
      <c r="B326" s="7">
        <v>321</v>
      </c>
      <c r="C326" s="5" t="s">
        <v>462</v>
      </c>
      <c r="D326" s="5" t="s">
        <v>212</v>
      </c>
      <c r="E326" s="9">
        <v>1</v>
      </c>
      <c r="F326" s="9">
        <v>1</v>
      </c>
      <c r="G326" s="11">
        <f>5902.2711*E326*F326</f>
        <v>5902.2711</v>
      </c>
      <c r="H326" s="11">
        <f>7241.09282424*E326*F326</f>
        <v>7241.09282424</v>
      </c>
      <c r="I326" s="11">
        <f t="shared" si="37"/>
        <v>0</v>
      </c>
      <c r="J326" s="11">
        <f>5914.0756422*E326*F326</f>
        <v>5914.0756422</v>
      </c>
      <c r="K326" s="11">
        <f>3335.051924127*E326*F326</f>
        <v>3335.051924127</v>
      </c>
      <c r="L326" s="15">
        <f t="shared" si="36"/>
        <v>223.92491490567002</v>
      </c>
      <c r="M326" s="13">
        <f t="shared" si="38"/>
        <v>22392.491490567</v>
      </c>
    </row>
    <row r="327" spans="2:13" ht="25.5" thickBot="1" thickTop="1">
      <c r="B327" s="7">
        <v>322</v>
      </c>
      <c r="C327" s="5" t="s">
        <v>463</v>
      </c>
      <c r="D327" s="5" t="s">
        <v>212</v>
      </c>
      <c r="E327" s="9">
        <v>1</v>
      </c>
      <c r="F327" s="9">
        <v>1</v>
      </c>
      <c r="G327" s="11">
        <f>5902.2711*E327*F327</f>
        <v>5902.2711</v>
      </c>
      <c r="H327" s="11">
        <f>10264.07332368*E327*F327</f>
        <v>10264.07332368</v>
      </c>
      <c r="I327" s="11">
        <f t="shared" si="37"/>
        <v>0</v>
      </c>
      <c r="J327" s="11">
        <f>5914.0756422*E327*F327</f>
        <v>5914.0756422</v>
      </c>
      <c r="K327" s="11">
        <f>3864.073511529*E327*F327</f>
        <v>3864.073511529</v>
      </c>
      <c r="L327" s="15">
        <f t="shared" si="36"/>
        <v>259.44493577409</v>
      </c>
      <c r="M327" s="13">
        <f t="shared" si="38"/>
        <v>25944.493577409</v>
      </c>
    </row>
    <row r="328" spans="2:13" ht="37.5" thickBot="1" thickTop="1">
      <c r="B328" s="7">
        <v>323</v>
      </c>
      <c r="C328" s="5" t="s">
        <v>464</v>
      </c>
      <c r="D328" s="5" t="s">
        <v>465</v>
      </c>
      <c r="E328" s="9">
        <v>1</v>
      </c>
      <c r="F328" s="9">
        <v>1</v>
      </c>
      <c r="G328" s="11">
        <f>21.07314*E328*F328</f>
        <v>21.07314</v>
      </c>
      <c r="H328" s="11">
        <f aca="true" t="shared" si="39" ref="H328:H356">0*E328*F328</f>
        <v>0</v>
      </c>
      <c r="I328" s="11">
        <f t="shared" si="37"/>
        <v>0</v>
      </c>
      <c r="J328" s="11">
        <f>21.11528628*E328*F328</f>
        <v>21.11528628</v>
      </c>
      <c r="K328" s="11">
        <f>7.382974599*E328*F328</f>
        <v>7.382974599</v>
      </c>
      <c r="L328" s="15">
        <f aca="true" t="shared" si="40" ref="L328:L348">M328/F328/E328</f>
        <v>49.571400879</v>
      </c>
      <c r="M328" s="13">
        <f t="shared" si="38"/>
        <v>49.571400879</v>
      </c>
    </row>
    <row r="329" spans="2:13" ht="25.5" thickBot="1" thickTop="1">
      <c r="B329" s="7">
        <v>324</v>
      </c>
      <c r="C329" s="5" t="s">
        <v>466</v>
      </c>
      <c r="D329" s="5" t="s">
        <v>465</v>
      </c>
      <c r="E329" s="9">
        <v>1</v>
      </c>
      <c r="F329" s="9">
        <v>1</v>
      </c>
      <c r="G329" s="11">
        <f>18.68526*E329*F329</f>
        <v>18.68526</v>
      </c>
      <c r="H329" s="11">
        <f t="shared" si="39"/>
        <v>0</v>
      </c>
      <c r="I329" s="11">
        <f t="shared" si="37"/>
        <v>0</v>
      </c>
      <c r="J329" s="11">
        <f>18.72263052*E329*F329</f>
        <v>18.72263052</v>
      </c>
      <c r="K329" s="11">
        <f>6.546380841*E329*F329</f>
        <v>6.546380841</v>
      </c>
      <c r="L329" s="15">
        <f t="shared" si="40"/>
        <v>43.954271360999996</v>
      </c>
      <c r="M329" s="13">
        <f t="shared" si="38"/>
        <v>43.954271360999996</v>
      </c>
    </row>
    <row r="330" spans="2:13" ht="37.5" thickBot="1" thickTop="1">
      <c r="B330" s="7">
        <v>325</v>
      </c>
      <c r="C330" s="5" t="s">
        <v>467</v>
      </c>
      <c r="D330" s="5" t="s">
        <v>465</v>
      </c>
      <c r="E330" s="9">
        <v>1</v>
      </c>
      <c r="F330" s="9">
        <v>1</v>
      </c>
      <c r="G330" s="11">
        <f>56.05578*E330*F330</f>
        <v>56.05578</v>
      </c>
      <c r="H330" s="11">
        <f t="shared" si="39"/>
        <v>0</v>
      </c>
      <c r="I330" s="11">
        <f t="shared" si="37"/>
        <v>0</v>
      </c>
      <c r="J330" s="11">
        <f>56.16789156*E330*F330</f>
        <v>56.16789156</v>
      </c>
      <c r="K330" s="11">
        <f>19.639142523*E330*F330</f>
        <v>19.639142523</v>
      </c>
      <c r="L330" s="15">
        <f t="shared" si="40"/>
        <v>131.862814083</v>
      </c>
      <c r="M330" s="13">
        <f t="shared" si="38"/>
        <v>131.862814083</v>
      </c>
    </row>
    <row r="331" spans="2:13" ht="37.5" thickBot="1" thickTop="1">
      <c r="B331" s="7">
        <v>326</v>
      </c>
      <c r="C331" s="5" t="s">
        <v>468</v>
      </c>
      <c r="D331" s="5" t="s">
        <v>469</v>
      </c>
      <c r="E331" s="9">
        <v>1</v>
      </c>
      <c r="F331" s="9">
        <v>1</v>
      </c>
      <c r="G331" s="11">
        <f>111.687642*E331*F331</f>
        <v>111.687642</v>
      </c>
      <c r="H331" s="11">
        <f t="shared" si="39"/>
        <v>0</v>
      </c>
      <c r="I331" s="11">
        <f t="shared" si="37"/>
        <v>0</v>
      </c>
      <c r="J331" s="11">
        <f>111.911017284*E331*F331</f>
        <v>111.911017284</v>
      </c>
      <c r="K331" s="11">
        <f>39.1297653747*E331*F331</f>
        <v>39.1297653747</v>
      </c>
      <c r="L331" s="15">
        <f t="shared" si="40"/>
        <v>262.7284246587</v>
      </c>
      <c r="M331" s="13">
        <f t="shared" si="38"/>
        <v>262.7284246587</v>
      </c>
    </row>
    <row r="332" spans="2:13" ht="25.5" thickBot="1" thickTop="1">
      <c r="B332" s="7">
        <v>327</v>
      </c>
      <c r="C332" s="5" t="s">
        <v>470</v>
      </c>
      <c r="D332" s="5" t="s">
        <v>469</v>
      </c>
      <c r="E332" s="9">
        <v>1</v>
      </c>
      <c r="F332" s="9">
        <v>1</v>
      </c>
      <c r="G332" s="11">
        <f>210.7314*E332*F332</f>
        <v>210.7314</v>
      </c>
      <c r="H332" s="11">
        <f t="shared" si="39"/>
        <v>0</v>
      </c>
      <c r="I332" s="11">
        <f t="shared" si="37"/>
        <v>0</v>
      </c>
      <c r="J332" s="11">
        <f>211.1528628*E332*F332</f>
        <v>211.1528628</v>
      </c>
      <c r="K332" s="11">
        <f>73.82974599*E332*F332</f>
        <v>73.82974599</v>
      </c>
      <c r="L332" s="15">
        <f t="shared" si="40"/>
        <v>495.71400879</v>
      </c>
      <c r="M332" s="13">
        <f t="shared" si="38"/>
        <v>495.71400879</v>
      </c>
    </row>
    <row r="333" spans="2:13" ht="25.5" thickBot="1" thickTop="1">
      <c r="B333" s="7">
        <v>328</v>
      </c>
      <c r="C333" s="5" t="s">
        <v>471</v>
      </c>
      <c r="D333" s="5" t="s">
        <v>465</v>
      </c>
      <c r="E333" s="9">
        <v>1</v>
      </c>
      <c r="F333" s="9">
        <v>1</v>
      </c>
      <c r="G333" s="11">
        <f>42.14628*E333*F333</f>
        <v>42.14628</v>
      </c>
      <c r="H333" s="11">
        <f t="shared" si="39"/>
        <v>0</v>
      </c>
      <c r="I333" s="11">
        <f t="shared" si="37"/>
        <v>0</v>
      </c>
      <c r="J333" s="11">
        <f>42.23057256*E333*F333</f>
        <v>42.23057256</v>
      </c>
      <c r="K333" s="11">
        <f>14.765949198*E333*F333</f>
        <v>14.765949198</v>
      </c>
      <c r="L333" s="15">
        <f t="shared" si="40"/>
        <v>99.142801758</v>
      </c>
      <c r="M333" s="13">
        <f t="shared" si="38"/>
        <v>99.142801758</v>
      </c>
    </row>
    <row r="334" spans="2:13" ht="25.5" thickBot="1" thickTop="1">
      <c r="B334" s="7">
        <v>329</v>
      </c>
      <c r="C334" s="5" t="s">
        <v>472</v>
      </c>
      <c r="D334" s="5" t="s">
        <v>465</v>
      </c>
      <c r="E334" s="9">
        <v>1</v>
      </c>
      <c r="F334" s="9">
        <v>1</v>
      </c>
      <c r="G334" s="11">
        <f>151.726608*E334*F334</f>
        <v>151.726608</v>
      </c>
      <c r="H334" s="11">
        <f t="shared" si="39"/>
        <v>0</v>
      </c>
      <c r="I334" s="11">
        <f t="shared" si="37"/>
        <v>0</v>
      </c>
      <c r="J334" s="11">
        <f>152.030061216*E334*F334</f>
        <v>152.030061216</v>
      </c>
      <c r="K334" s="11">
        <f>53.1574171128*E334*F334</f>
        <v>53.1574171128</v>
      </c>
      <c r="L334" s="15">
        <f t="shared" si="40"/>
        <v>356.91408632879995</v>
      </c>
      <c r="M334" s="13">
        <f t="shared" si="38"/>
        <v>356.91408632879995</v>
      </c>
    </row>
    <row r="335" spans="2:13" ht="25.5" thickBot="1" thickTop="1">
      <c r="B335" s="7">
        <v>330</v>
      </c>
      <c r="C335" s="5" t="s">
        <v>473</v>
      </c>
      <c r="D335" s="5" t="s">
        <v>465</v>
      </c>
      <c r="E335" s="9">
        <v>1</v>
      </c>
      <c r="F335" s="9">
        <v>1</v>
      </c>
      <c r="G335" s="11">
        <f>21.07314*E335*F335</f>
        <v>21.07314</v>
      </c>
      <c r="H335" s="11">
        <f t="shared" si="39"/>
        <v>0</v>
      </c>
      <c r="I335" s="11">
        <f t="shared" si="37"/>
        <v>0</v>
      </c>
      <c r="J335" s="11">
        <f>21.11528628*E335*F335</f>
        <v>21.11528628</v>
      </c>
      <c r="K335" s="11">
        <f>7.382974599*E335*F335</f>
        <v>7.382974599</v>
      </c>
      <c r="L335" s="15">
        <f t="shared" si="40"/>
        <v>49.571400879</v>
      </c>
      <c r="M335" s="13">
        <f t="shared" si="38"/>
        <v>49.571400879</v>
      </c>
    </row>
    <row r="336" spans="2:13" ht="25.5" thickBot="1" thickTop="1">
      <c r="B336" s="7">
        <v>331</v>
      </c>
      <c r="C336" s="5" t="s">
        <v>474</v>
      </c>
      <c r="D336" s="5" t="s">
        <v>475</v>
      </c>
      <c r="E336" s="9">
        <v>1</v>
      </c>
      <c r="F336" s="9">
        <v>1</v>
      </c>
      <c r="G336" s="11">
        <f>21.07314*E336*F336</f>
        <v>21.07314</v>
      </c>
      <c r="H336" s="11">
        <f t="shared" si="39"/>
        <v>0</v>
      </c>
      <c r="I336" s="11">
        <f t="shared" si="37"/>
        <v>0</v>
      </c>
      <c r="J336" s="11">
        <f>21.11528628*E336*F336</f>
        <v>21.11528628</v>
      </c>
      <c r="K336" s="11">
        <f>7.382974599*E336*F336</f>
        <v>7.382974599</v>
      </c>
      <c r="L336" s="15">
        <f t="shared" si="40"/>
        <v>49.571400879</v>
      </c>
      <c r="M336" s="13">
        <f t="shared" si="38"/>
        <v>49.571400879</v>
      </c>
    </row>
    <row r="337" spans="2:13" ht="25.5" thickBot="1" thickTop="1">
      <c r="B337" s="7">
        <v>332</v>
      </c>
      <c r="C337" s="5" t="s">
        <v>476</v>
      </c>
      <c r="D337" s="5" t="s">
        <v>475</v>
      </c>
      <c r="E337" s="9">
        <v>1</v>
      </c>
      <c r="F337" s="9">
        <v>1</v>
      </c>
      <c r="G337" s="11">
        <f>18.68526*E337*F337</f>
        <v>18.68526</v>
      </c>
      <c r="H337" s="11">
        <f t="shared" si="39"/>
        <v>0</v>
      </c>
      <c r="I337" s="11">
        <f t="shared" si="37"/>
        <v>0</v>
      </c>
      <c r="J337" s="11">
        <f>18.72263052*E337*F337</f>
        <v>18.72263052</v>
      </c>
      <c r="K337" s="11">
        <f>6.546380841*E337*F337</f>
        <v>6.546380841</v>
      </c>
      <c r="L337" s="15">
        <f t="shared" si="40"/>
        <v>43.954271360999996</v>
      </c>
      <c r="M337" s="13">
        <f t="shared" si="38"/>
        <v>43.954271360999996</v>
      </c>
    </row>
    <row r="338" spans="2:13" ht="37.5" thickBot="1" thickTop="1">
      <c r="B338" s="7">
        <v>333</v>
      </c>
      <c r="C338" s="5" t="s">
        <v>477</v>
      </c>
      <c r="D338" s="5" t="s">
        <v>475</v>
      </c>
      <c r="E338" s="9">
        <v>1</v>
      </c>
      <c r="F338" s="9">
        <v>1</v>
      </c>
      <c r="G338" s="11">
        <f>56.05578*E338*F338</f>
        <v>56.05578</v>
      </c>
      <c r="H338" s="11">
        <f t="shared" si="39"/>
        <v>0</v>
      </c>
      <c r="I338" s="11">
        <f t="shared" si="37"/>
        <v>0</v>
      </c>
      <c r="J338" s="11">
        <f>56.16789156*E338*F338</f>
        <v>56.16789156</v>
      </c>
      <c r="K338" s="11">
        <f>19.639142523*E338*F338</f>
        <v>19.639142523</v>
      </c>
      <c r="L338" s="15">
        <f t="shared" si="40"/>
        <v>131.862814083</v>
      </c>
      <c r="M338" s="13">
        <f t="shared" si="38"/>
        <v>131.862814083</v>
      </c>
    </row>
    <row r="339" spans="2:13" ht="37.5" thickBot="1" thickTop="1">
      <c r="B339" s="7">
        <v>334</v>
      </c>
      <c r="C339" s="5" t="s">
        <v>478</v>
      </c>
      <c r="D339" s="5" t="s">
        <v>469</v>
      </c>
      <c r="E339" s="9">
        <v>1</v>
      </c>
      <c r="F339" s="9">
        <v>1</v>
      </c>
      <c r="G339" s="11">
        <f>111.687642*E339*F339</f>
        <v>111.687642</v>
      </c>
      <c r="H339" s="11">
        <f t="shared" si="39"/>
        <v>0</v>
      </c>
      <c r="I339" s="11">
        <f t="shared" si="37"/>
        <v>0</v>
      </c>
      <c r="J339" s="11">
        <f>111.911017284*E339*F339</f>
        <v>111.911017284</v>
      </c>
      <c r="K339" s="11">
        <f>39.1297653747*E339*F339</f>
        <v>39.1297653747</v>
      </c>
      <c r="L339" s="15">
        <f t="shared" si="40"/>
        <v>262.7284246587</v>
      </c>
      <c r="M339" s="13">
        <f t="shared" si="38"/>
        <v>262.7284246587</v>
      </c>
    </row>
    <row r="340" spans="2:13" ht="25.5" thickBot="1" thickTop="1">
      <c r="B340" s="7">
        <v>335</v>
      </c>
      <c r="C340" s="5" t="s">
        <v>479</v>
      </c>
      <c r="D340" s="5" t="s">
        <v>469</v>
      </c>
      <c r="E340" s="9">
        <v>1</v>
      </c>
      <c r="F340" s="9">
        <v>1</v>
      </c>
      <c r="G340" s="11">
        <f>210.7314*E340*F340</f>
        <v>210.7314</v>
      </c>
      <c r="H340" s="11">
        <f t="shared" si="39"/>
        <v>0</v>
      </c>
      <c r="I340" s="11">
        <f t="shared" si="37"/>
        <v>0</v>
      </c>
      <c r="J340" s="11">
        <f>211.1528628*E340*F340</f>
        <v>211.1528628</v>
      </c>
      <c r="K340" s="11">
        <f>73.82974599*E340*F340</f>
        <v>73.82974599</v>
      </c>
      <c r="L340" s="15">
        <f t="shared" si="40"/>
        <v>495.71400879</v>
      </c>
      <c r="M340" s="13">
        <f t="shared" si="38"/>
        <v>495.71400879</v>
      </c>
    </row>
    <row r="341" spans="2:13" ht="25.5" thickBot="1" thickTop="1">
      <c r="B341" s="7">
        <v>336</v>
      </c>
      <c r="C341" s="5" t="s">
        <v>480</v>
      </c>
      <c r="D341" s="5" t="s">
        <v>475</v>
      </c>
      <c r="E341" s="9">
        <v>1</v>
      </c>
      <c r="F341" s="9">
        <v>1</v>
      </c>
      <c r="G341" s="11">
        <f>42.14628*E341*F341</f>
        <v>42.14628</v>
      </c>
      <c r="H341" s="11">
        <f t="shared" si="39"/>
        <v>0</v>
      </c>
      <c r="I341" s="11">
        <f t="shared" si="37"/>
        <v>0</v>
      </c>
      <c r="J341" s="11">
        <f>42.23057256*E341*F341</f>
        <v>42.23057256</v>
      </c>
      <c r="K341" s="11">
        <f>14.765949198*E341*F341</f>
        <v>14.765949198</v>
      </c>
      <c r="L341" s="15">
        <f t="shared" si="40"/>
        <v>99.142801758</v>
      </c>
      <c r="M341" s="13">
        <f t="shared" si="38"/>
        <v>99.142801758</v>
      </c>
    </row>
    <row r="342" spans="2:13" ht="37.5" thickBot="1" thickTop="1">
      <c r="B342" s="7">
        <v>337</v>
      </c>
      <c r="C342" s="5" t="s">
        <v>481</v>
      </c>
      <c r="D342" s="5" t="s">
        <v>475</v>
      </c>
      <c r="E342" s="9">
        <v>1</v>
      </c>
      <c r="F342" s="9">
        <v>1</v>
      </c>
      <c r="G342" s="11">
        <f>151.726608*E342*F342</f>
        <v>151.726608</v>
      </c>
      <c r="H342" s="11">
        <f t="shared" si="39"/>
        <v>0</v>
      </c>
      <c r="I342" s="11">
        <f aca="true" t="shared" si="41" ref="I342:I360">0*E342*F342</f>
        <v>0</v>
      </c>
      <c r="J342" s="11">
        <f>152.030061216*E342*F342</f>
        <v>152.030061216</v>
      </c>
      <c r="K342" s="11">
        <f>53.1574171128*E342*F342</f>
        <v>53.1574171128</v>
      </c>
      <c r="L342" s="15">
        <f t="shared" si="40"/>
        <v>356.91408632879995</v>
      </c>
      <c r="M342" s="13">
        <f t="shared" si="38"/>
        <v>356.91408632879995</v>
      </c>
    </row>
    <row r="343" spans="2:13" ht="37.5" thickBot="1" thickTop="1">
      <c r="B343" s="7">
        <v>338</v>
      </c>
      <c r="C343" s="5" t="s">
        <v>482</v>
      </c>
      <c r="D343" s="5" t="s">
        <v>475</v>
      </c>
      <c r="E343" s="9">
        <v>1</v>
      </c>
      <c r="F343" s="9">
        <v>1</v>
      </c>
      <c r="G343" s="11">
        <f>21.07314*E343*F343</f>
        <v>21.07314</v>
      </c>
      <c r="H343" s="11">
        <f t="shared" si="39"/>
        <v>0</v>
      </c>
      <c r="I343" s="11">
        <f t="shared" si="41"/>
        <v>0</v>
      </c>
      <c r="J343" s="11">
        <f>21.11528628*E343*F343</f>
        <v>21.11528628</v>
      </c>
      <c r="K343" s="11">
        <f>7.382974599*E343*F343</f>
        <v>7.382974599</v>
      </c>
      <c r="L343" s="15">
        <f t="shared" si="40"/>
        <v>49.571400879</v>
      </c>
      <c r="M343" s="13">
        <f t="shared" si="38"/>
        <v>49.571400879</v>
      </c>
    </row>
    <row r="344" spans="2:13" ht="25.5" thickBot="1" thickTop="1">
      <c r="B344" s="7">
        <v>339</v>
      </c>
      <c r="C344" s="5" t="s">
        <v>483</v>
      </c>
      <c r="D344" s="5" t="s">
        <v>475</v>
      </c>
      <c r="E344" s="9">
        <v>1</v>
      </c>
      <c r="F344" s="9">
        <v>1</v>
      </c>
      <c r="G344" s="11">
        <f>210.7314*E344*F344</f>
        <v>210.7314</v>
      </c>
      <c r="H344" s="11">
        <f t="shared" si="39"/>
        <v>0</v>
      </c>
      <c r="I344" s="11">
        <f t="shared" si="41"/>
        <v>0</v>
      </c>
      <c r="J344" s="11">
        <f>211.1528628*E344*F344</f>
        <v>211.1528628</v>
      </c>
      <c r="K344" s="11">
        <f>73.82974599*E344*F344</f>
        <v>73.82974599</v>
      </c>
      <c r="L344" s="15">
        <f t="shared" si="40"/>
        <v>495.71400879</v>
      </c>
      <c r="M344" s="13">
        <f t="shared" si="38"/>
        <v>495.71400879</v>
      </c>
    </row>
    <row r="345" spans="2:13" ht="49.5" thickBot="1" thickTop="1">
      <c r="B345" s="7">
        <v>340</v>
      </c>
      <c r="C345" s="5" t="s">
        <v>484</v>
      </c>
      <c r="D345" s="5" t="s">
        <v>475</v>
      </c>
      <c r="E345" s="9">
        <v>1</v>
      </c>
      <c r="F345" s="9">
        <v>1</v>
      </c>
      <c r="G345" s="11">
        <f>33.07524*E345*F345</f>
        <v>33.07524</v>
      </c>
      <c r="H345" s="11">
        <f t="shared" si="39"/>
        <v>0</v>
      </c>
      <c r="I345" s="11">
        <f t="shared" si="41"/>
        <v>0</v>
      </c>
      <c r="J345" s="11">
        <f>33.14139048*E345*F345</f>
        <v>33.14139048</v>
      </c>
      <c r="K345" s="11">
        <f>11.587910334*E345*F345</f>
        <v>11.587910334</v>
      </c>
      <c r="L345" s="15">
        <f t="shared" si="40"/>
        <v>77.80454081399999</v>
      </c>
      <c r="M345" s="13">
        <f t="shared" si="38"/>
        <v>77.80454081399999</v>
      </c>
    </row>
    <row r="346" spans="2:13" ht="37.5" thickBot="1" thickTop="1">
      <c r="B346" s="7">
        <v>341</v>
      </c>
      <c r="C346" s="5" t="s">
        <v>485</v>
      </c>
      <c r="D346" s="5" t="s">
        <v>475</v>
      </c>
      <c r="E346" s="9">
        <v>1</v>
      </c>
      <c r="F346" s="9">
        <v>1</v>
      </c>
      <c r="G346" s="11">
        <f>396.90288*E346*F346</f>
        <v>396.90288</v>
      </c>
      <c r="H346" s="11">
        <f t="shared" si="39"/>
        <v>0</v>
      </c>
      <c r="I346" s="11">
        <f t="shared" si="41"/>
        <v>0</v>
      </c>
      <c r="J346" s="11">
        <f>397.69668576*E346*F346</f>
        <v>397.69668576</v>
      </c>
      <c r="K346" s="11">
        <f>139.054924008*E346*F346</f>
        <v>139.054924008</v>
      </c>
      <c r="L346" s="15">
        <f t="shared" si="40"/>
        <v>933.6544897679998</v>
      </c>
      <c r="M346" s="13">
        <f t="shared" si="38"/>
        <v>933.6544897679998</v>
      </c>
    </row>
    <row r="347" spans="2:13" ht="25.5" thickBot="1" thickTop="1">
      <c r="B347" s="7">
        <v>342</v>
      </c>
      <c r="C347" s="5" t="s">
        <v>486</v>
      </c>
      <c r="D347" s="5" t="s">
        <v>267</v>
      </c>
      <c r="E347" s="9">
        <v>1</v>
      </c>
      <c r="F347" s="9">
        <v>1</v>
      </c>
      <c r="G347" s="11">
        <f>627.979572*E347*F347</f>
        <v>627.979572</v>
      </c>
      <c r="H347" s="11">
        <f t="shared" si="39"/>
        <v>0</v>
      </c>
      <c r="I347" s="11">
        <f t="shared" si="41"/>
        <v>0</v>
      </c>
      <c r="J347" s="11">
        <f>629.235531144*E347*F347</f>
        <v>629.235531144</v>
      </c>
      <c r="K347" s="11">
        <f>220.0126430502*E347*F347</f>
        <v>220.0126430502</v>
      </c>
      <c r="L347" s="15">
        <f t="shared" si="40"/>
        <v>1477.2277461941999</v>
      </c>
      <c r="M347" s="13">
        <f t="shared" si="38"/>
        <v>1477.2277461941999</v>
      </c>
    </row>
    <row r="348" spans="2:13" ht="25.5" thickBot="1" thickTop="1">
      <c r="B348" s="7">
        <v>343</v>
      </c>
      <c r="C348" s="5" t="s">
        <v>487</v>
      </c>
      <c r="D348" s="5" t="s">
        <v>267</v>
      </c>
      <c r="E348" s="9">
        <v>1</v>
      </c>
      <c r="F348" s="9">
        <v>1</v>
      </c>
      <c r="G348" s="11">
        <f>627.979572*E348*F348</f>
        <v>627.979572</v>
      </c>
      <c r="H348" s="11">
        <f t="shared" si="39"/>
        <v>0</v>
      </c>
      <c r="I348" s="11">
        <f t="shared" si="41"/>
        <v>0</v>
      </c>
      <c r="J348" s="11">
        <f>629.235531144*E348*F348</f>
        <v>629.235531144</v>
      </c>
      <c r="K348" s="11">
        <f>220.0126430502*E348*F348</f>
        <v>220.0126430502</v>
      </c>
      <c r="L348" s="15">
        <f t="shared" si="40"/>
        <v>1477.2277461941999</v>
      </c>
      <c r="M348" s="13">
        <f t="shared" si="38"/>
        <v>1477.2277461941999</v>
      </c>
    </row>
    <row r="349" spans="2:13" ht="85.5" thickBot="1" thickTop="1">
      <c r="B349" s="7">
        <v>344</v>
      </c>
      <c r="C349" s="5" t="s">
        <v>488</v>
      </c>
      <c r="D349" s="5" t="s">
        <v>489</v>
      </c>
      <c r="E349" s="9">
        <v>1</v>
      </c>
      <c r="F349" s="9">
        <v>365</v>
      </c>
      <c r="G349" s="11">
        <f>406.7554*E349*F349</f>
        <v>148465.721</v>
      </c>
      <c r="H349" s="11">
        <f t="shared" si="39"/>
        <v>0</v>
      </c>
      <c r="I349" s="11">
        <f t="shared" si="41"/>
        <v>0</v>
      </c>
      <c r="J349" s="11">
        <f>407.5689108*E349*F349</f>
        <v>148762.65244200002</v>
      </c>
      <c r="K349" s="11">
        <f>142.50675439*E349*F349</f>
        <v>52014.96535235</v>
      </c>
      <c r="L349" s="15">
        <f>M349/F349/E349/1000</f>
        <v>0.9568310651900002</v>
      </c>
      <c r="M349" s="13">
        <f t="shared" si="38"/>
        <v>349243.33879435004</v>
      </c>
    </row>
    <row r="350" spans="2:13" ht="85.5" thickBot="1" thickTop="1">
      <c r="B350" s="7">
        <v>345</v>
      </c>
      <c r="C350" s="5" t="s">
        <v>490</v>
      </c>
      <c r="D350" s="5" t="s">
        <v>489</v>
      </c>
      <c r="E350" s="9">
        <v>1</v>
      </c>
      <c r="F350" s="9">
        <v>365</v>
      </c>
      <c r="G350" s="11">
        <f>412.2954*E350*F350</f>
        <v>150487.821</v>
      </c>
      <c r="H350" s="11">
        <f t="shared" si="39"/>
        <v>0</v>
      </c>
      <c r="I350" s="11">
        <f t="shared" si="41"/>
        <v>0</v>
      </c>
      <c r="J350" s="11">
        <f>413.1199908*E350*F350</f>
        <v>150788.796642</v>
      </c>
      <c r="K350" s="11">
        <f>144.44769339*E350*F350</f>
        <v>52723.408087350006</v>
      </c>
      <c r="L350" s="15">
        <f aca="true" t="shared" si="42" ref="L350:L357">M350/F350/E350/1000</f>
        <v>0.96986308419</v>
      </c>
      <c r="M350" s="13">
        <f t="shared" si="38"/>
        <v>354000.02572935</v>
      </c>
    </row>
    <row r="351" spans="2:13" ht="85.5" thickBot="1" thickTop="1">
      <c r="B351" s="7">
        <v>346</v>
      </c>
      <c r="C351" s="5" t="s">
        <v>491</v>
      </c>
      <c r="D351" s="5" t="s">
        <v>489</v>
      </c>
      <c r="E351" s="9">
        <v>1</v>
      </c>
      <c r="F351" s="9">
        <v>365</v>
      </c>
      <c r="G351" s="11">
        <f>448.4014*E351*F351</f>
        <v>163666.511</v>
      </c>
      <c r="H351" s="11">
        <f t="shared" si="39"/>
        <v>0</v>
      </c>
      <c r="I351" s="11">
        <f t="shared" si="41"/>
        <v>0</v>
      </c>
      <c r="J351" s="11">
        <f>449.2982028*E351*F351</f>
        <v>163993.844022</v>
      </c>
      <c r="K351" s="11">
        <f>157.09743049*E351*F351</f>
        <v>57340.56212885</v>
      </c>
      <c r="L351" s="15">
        <f t="shared" si="42"/>
        <v>1.05479703329</v>
      </c>
      <c r="M351" s="13">
        <f t="shared" si="38"/>
        <v>385000.91715085006</v>
      </c>
    </row>
    <row r="352" spans="2:13" ht="85.5" thickBot="1" thickTop="1">
      <c r="B352" s="7">
        <v>347</v>
      </c>
      <c r="C352" s="5" t="s">
        <v>492</v>
      </c>
      <c r="D352" s="5" t="s">
        <v>489</v>
      </c>
      <c r="E352" s="9">
        <v>1</v>
      </c>
      <c r="F352" s="9">
        <v>365</v>
      </c>
      <c r="G352" s="11">
        <f>490.0474*E352*F352</f>
        <v>178867.301</v>
      </c>
      <c r="H352" s="11">
        <f t="shared" si="39"/>
        <v>0</v>
      </c>
      <c r="I352" s="11">
        <f t="shared" si="41"/>
        <v>0</v>
      </c>
      <c r="J352" s="11">
        <f>491.0274948*E352*F352</f>
        <v>179225.035602</v>
      </c>
      <c r="K352" s="11">
        <f>171.68810659*E352*F352</f>
        <v>62666.15890535</v>
      </c>
      <c r="L352" s="15">
        <f t="shared" si="42"/>
        <v>1.15276300139</v>
      </c>
      <c r="M352" s="13">
        <f t="shared" si="38"/>
        <v>420758.49550735</v>
      </c>
    </row>
    <row r="353" spans="2:13" ht="85.5" thickBot="1" thickTop="1">
      <c r="B353" s="7">
        <v>348</v>
      </c>
      <c r="C353" s="5" t="s">
        <v>493</v>
      </c>
      <c r="D353" s="5" t="s">
        <v>489</v>
      </c>
      <c r="E353" s="9">
        <v>1</v>
      </c>
      <c r="F353" s="9">
        <v>365</v>
      </c>
      <c r="G353" s="11">
        <f>536.9564*E353*F353</f>
        <v>195989.086</v>
      </c>
      <c r="H353" s="11">
        <f t="shared" si="39"/>
        <v>0</v>
      </c>
      <c r="I353" s="11">
        <f t="shared" si="41"/>
        <v>0</v>
      </c>
      <c r="J353" s="11">
        <f>538.0303128*E353*F353</f>
        <v>196381.064172</v>
      </c>
      <c r="K353" s="11">
        <f>188.12267474*E353*F353</f>
        <v>68664.7762801</v>
      </c>
      <c r="L353" s="15">
        <f t="shared" si="42"/>
        <v>1.2631093875400001</v>
      </c>
      <c r="M353" s="13">
        <f t="shared" si="38"/>
        <v>461034.92645210004</v>
      </c>
    </row>
    <row r="354" spans="2:13" ht="85.5" thickBot="1" thickTop="1">
      <c r="B354" s="7">
        <v>349</v>
      </c>
      <c r="C354" s="5" t="s">
        <v>488</v>
      </c>
      <c r="D354" s="5" t="s">
        <v>494</v>
      </c>
      <c r="E354" s="9">
        <v>1</v>
      </c>
      <c r="F354" s="9">
        <v>365</v>
      </c>
      <c r="G354" s="11">
        <f>332.6638*E354*F354</f>
        <v>121422.287</v>
      </c>
      <c r="H354" s="11">
        <f t="shared" si="39"/>
        <v>0</v>
      </c>
      <c r="I354" s="11">
        <f t="shared" si="41"/>
        <v>0</v>
      </c>
      <c r="J354" s="11">
        <f>333.3291276*E354*F354</f>
        <v>121665.131574</v>
      </c>
      <c r="K354" s="11">
        <f>116.54876233*E354*F354</f>
        <v>42540.29825045</v>
      </c>
      <c r="L354" s="15">
        <f t="shared" si="42"/>
        <v>0.78254168993</v>
      </c>
      <c r="M354" s="13">
        <f t="shared" si="38"/>
        <v>285627.71682445</v>
      </c>
    </row>
    <row r="355" spans="2:13" ht="85.5" thickBot="1" thickTop="1">
      <c r="B355" s="7">
        <v>350</v>
      </c>
      <c r="C355" s="5" t="s">
        <v>490</v>
      </c>
      <c r="D355" s="5" t="s">
        <v>494</v>
      </c>
      <c r="E355" s="9">
        <v>1</v>
      </c>
      <c r="F355" s="9">
        <v>365</v>
      </c>
      <c r="G355" s="11">
        <f>338.2038*E355*F355</f>
        <v>123444.387</v>
      </c>
      <c r="H355" s="11">
        <f t="shared" si="39"/>
        <v>0</v>
      </c>
      <c r="I355" s="11">
        <f t="shared" si="41"/>
        <v>0</v>
      </c>
      <c r="J355" s="11">
        <f>338.8802076*E355*F355</f>
        <v>123691.27577400001</v>
      </c>
      <c r="K355" s="11">
        <f>118.48970133*E355*F355</f>
        <v>43248.74098545</v>
      </c>
      <c r="L355" s="15">
        <f t="shared" si="42"/>
        <v>0.79557370893</v>
      </c>
      <c r="M355" s="13">
        <f t="shared" si="38"/>
        <v>290384.40375945</v>
      </c>
    </row>
    <row r="356" spans="2:13" ht="85.5" thickBot="1" thickTop="1">
      <c r="B356" s="7">
        <v>351</v>
      </c>
      <c r="C356" s="5" t="s">
        <v>491</v>
      </c>
      <c r="D356" s="5" t="s">
        <v>494</v>
      </c>
      <c r="E356" s="9">
        <v>1</v>
      </c>
      <c r="F356" s="9">
        <v>365</v>
      </c>
      <c r="G356" s="11">
        <f>366.8258*E356*F356</f>
        <v>133891.41700000002</v>
      </c>
      <c r="H356" s="11">
        <f t="shared" si="39"/>
        <v>0</v>
      </c>
      <c r="I356" s="11">
        <f t="shared" si="41"/>
        <v>0</v>
      </c>
      <c r="J356" s="11">
        <f>367.5594516*E356*F356</f>
        <v>134159.199834</v>
      </c>
      <c r="K356" s="11">
        <f>128.51741903*E356*F356</f>
        <v>46908.85794595</v>
      </c>
      <c r="L356" s="15">
        <f>M356/F356/E356/100</f>
        <v>8.6290267063</v>
      </c>
      <c r="M356" s="13">
        <f t="shared" si="38"/>
        <v>314959.47477995</v>
      </c>
    </row>
    <row r="357" spans="2:13" ht="37.5" thickBot="1" thickTop="1">
      <c r="B357" s="7">
        <v>352</v>
      </c>
      <c r="C357" s="5" t="s">
        <v>495</v>
      </c>
      <c r="D357" s="5" t="s">
        <v>305</v>
      </c>
      <c r="E357" s="9">
        <v>1</v>
      </c>
      <c r="F357" s="9">
        <v>1</v>
      </c>
      <c r="G357" s="11">
        <f>7869.6948*E357*F357</f>
        <v>7869.6948</v>
      </c>
      <c r="H357" s="11">
        <f>2690.4241056378*E357*F357</f>
        <v>2690.4241056378</v>
      </c>
      <c r="I357" s="11">
        <f t="shared" si="41"/>
        <v>0</v>
      </c>
      <c r="J357" s="11">
        <f>7885.4341896*E357*F357</f>
        <v>7885.4341896</v>
      </c>
      <c r="K357" s="11">
        <f>3227.9717916666*E357*F357</f>
        <v>3227.9717916666</v>
      </c>
      <c r="L357" s="15">
        <f t="shared" si="42"/>
        <v>21.6735248869044</v>
      </c>
      <c r="M357" s="13">
        <f t="shared" si="38"/>
        <v>21673.5248869044</v>
      </c>
    </row>
    <row r="358" spans="2:13" ht="13.5" thickBot="1" thickTop="1">
      <c r="B358" s="7">
        <v>353</v>
      </c>
      <c r="C358" s="5" t="s">
        <v>496</v>
      </c>
      <c r="D358" s="5" t="s">
        <v>497</v>
      </c>
      <c r="E358" s="9">
        <v>1</v>
      </c>
      <c r="F358" s="9">
        <v>1</v>
      </c>
      <c r="G358" s="11">
        <f>41.78958399*E358*F358</f>
        <v>41.78958399</v>
      </c>
      <c r="H358" s="11">
        <f>329.03568*E358*F358</f>
        <v>329.03568</v>
      </c>
      <c r="I358" s="11">
        <f t="shared" si="41"/>
        <v>0</v>
      </c>
      <c r="J358" s="11">
        <f>41.87316315798*E358*F358</f>
        <v>41.87316315798</v>
      </c>
      <c r="K358" s="11">
        <f>72.222224750896*E358*F358</f>
        <v>72.222224750896</v>
      </c>
      <c r="L358" s="15">
        <f>M358/F358/E358</f>
        <v>484.92065189887603</v>
      </c>
      <c r="M358" s="13">
        <f t="shared" si="38"/>
        <v>484.92065189887603</v>
      </c>
    </row>
    <row r="359" spans="2:13" ht="13.5" thickBot="1" thickTop="1">
      <c r="B359" s="7">
        <v>354</v>
      </c>
      <c r="C359" s="5" t="s">
        <v>498</v>
      </c>
      <c r="D359" s="5" t="s">
        <v>499</v>
      </c>
      <c r="E359" s="9">
        <v>1</v>
      </c>
      <c r="F359" s="9">
        <v>1</v>
      </c>
      <c r="G359" s="11">
        <f>7.660258630464*E359*F359</f>
        <v>7.660258630464</v>
      </c>
      <c r="H359" s="11">
        <f>0*E359*F359</f>
        <v>0</v>
      </c>
      <c r="I359" s="11">
        <f t="shared" si="41"/>
        <v>0</v>
      </c>
      <c r="J359" s="11">
        <f>7.6755791477249*E359*F359</f>
        <v>7.6755791477249</v>
      </c>
      <c r="K359" s="11">
        <f>2.6837716111831*E359*F359</f>
        <v>2.6837716111831</v>
      </c>
      <c r="L359" s="15">
        <f>M359/F359/E359</f>
        <v>18.019609389372</v>
      </c>
      <c r="M359" s="13">
        <f t="shared" si="38"/>
        <v>18.019609389372</v>
      </c>
    </row>
    <row r="360" spans="2:13" ht="37.5" thickBot="1" thickTop="1">
      <c r="B360" s="7">
        <v>355</v>
      </c>
      <c r="C360" s="5" t="s">
        <v>500</v>
      </c>
      <c r="D360" s="5" t="s">
        <v>305</v>
      </c>
      <c r="E360" s="9">
        <v>1</v>
      </c>
      <c r="F360" s="9">
        <v>1</v>
      </c>
      <c r="G360" s="11">
        <f>7869.6948*E360*F360</f>
        <v>7869.6948</v>
      </c>
      <c r="H360" s="11">
        <f>2690.4241056378*E360*F360</f>
        <v>2690.4241056378</v>
      </c>
      <c r="I360" s="11">
        <f t="shared" si="41"/>
        <v>0</v>
      </c>
      <c r="J360" s="11">
        <f>7885.4341896*E360*F360</f>
        <v>7885.4341896</v>
      </c>
      <c r="K360" s="11">
        <f>3227.9717916666*E360*F360</f>
        <v>3227.9717916666</v>
      </c>
      <c r="L360" s="15">
        <f>M360/F360/E360/1000</f>
        <v>21.6735248869044</v>
      </c>
      <c r="M360" s="13">
        <f t="shared" si="38"/>
        <v>21673.5248869044</v>
      </c>
    </row>
    <row r="361" spans="2:13" ht="21.75" customHeight="1" thickBot="1" thickTop="1">
      <c r="B361" s="18" t="s">
        <v>501</v>
      </c>
      <c r="C361" s="19"/>
      <c r="D361" s="19"/>
      <c r="E361" s="19"/>
      <c r="F361" s="19"/>
      <c r="G361" s="20"/>
      <c r="H361" s="20"/>
      <c r="I361" s="20"/>
      <c r="J361" s="20"/>
      <c r="K361" s="20"/>
      <c r="L361" s="20"/>
      <c r="M361" s="21"/>
    </row>
    <row r="362" spans="2:13" ht="37.5" thickBot="1" thickTop="1">
      <c r="B362" s="6">
        <v>356</v>
      </c>
      <c r="C362" s="4" t="s">
        <v>502</v>
      </c>
      <c r="D362" s="4" t="s">
        <v>503</v>
      </c>
      <c r="E362" s="8">
        <v>1</v>
      </c>
      <c r="F362" s="8">
        <v>365</v>
      </c>
      <c r="G362" s="10">
        <f>129.4669728*E362*F362</f>
        <v>47255.445072</v>
      </c>
      <c r="H362" s="10">
        <f>0*E362*F362</f>
        <v>0</v>
      </c>
      <c r="I362" s="10">
        <f aca="true" t="shared" si="43" ref="I362:I376">0*E362*F362</f>
        <v>0</v>
      </c>
      <c r="J362" s="10">
        <f>129.7259067456*E362*F362</f>
        <v>47349.955962144006</v>
      </c>
      <c r="K362" s="10">
        <f>45.35875392048*E362*F362</f>
        <v>16555.9451809752</v>
      </c>
      <c r="L362" s="15">
        <f>M362/F362/E362</f>
        <v>304.55163346608003</v>
      </c>
      <c r="M362" s="12">
        <f aca="true" t="shared" si="44" ref="M362:M393">SUM(G362:K362)</f>
        <v>111161.3462151192</v>
      </c>
    </row>
    <row r="363" spans="2:13" ht="37.5" thickBot="1" thickTop="1">
      <c r="B363" s="7">
        <v>357</v>
      </c>
      <c r="C363" s="5" t="s">
        <v>504</v>
      </c>
      <c r="D363" s="5" t="s">
        <v>505</v>
      </c>
      <c r="E363" s="9">
        <v>1</v>
      </c>
      <c r="F363" s="9">
        <v>365</v>
      </c>
      <c r="G363" s="11">
        <f>166.6375392*E363*F363</f>
        <v>60822.701808</v>
      </c>
      <c r="H363" s="11">
        <f>0*E363*F363</f>
        <v>0</v>
      </c>
      <c r="I363" s="11">
        <f t="shared" si="43"/>
        <v>0</v>
      </c>
      <c r="J363" s="11">
        <f>166.9708142784*E363*F363</f>
        <v>60944.347211616005</v>
      </c>
      <c r="K363" s="11">
        <f>58.38146185872*E363*F363</f>
        <v>21309.2335784328</v>
      </c>
      <c r="L363" s="15">
        <f>M363/F363/E363/100</f>
        <v>3.9198981533711996</v>
      </c>
      <c r="M363" s="13">
        <f t="shared" si="44"/>
        <v>143076.2825980488</v>
      </c>
    </row>
    <row r="364" spans="2:13" ht="49.5" thickBot="1" thickTop="1">
      <c r="B364" s="7">
        <v>358</v>
      </c>
      <c r="C364" s="5" t="s">
        <v>506</v>
      </c>
      <c r="D364" s="5" t="s">
        <v>505</v>
      </c>
      <c r="E364" s="9">
        <v>1</v>
      </c>
      <c r="F364" s="9">
        <v>365</v>
      </c>
      <c r="G364" s="11">
        <f>180.7707264*E364*F364</f>
        <v>65981.315136</v>
      </c>
      <c r="H364" s="11">
        <f>0*E364*F364</f>
        <v>0</v>
      </c>
      <c r="I364" s="11">
        <f t="shared" si="43"/>
        <v>0</v>
      </c>
      <c r="J364" s="11">
        <f>181.1322678528*E364*F364</f>
        <v>66113.277766272</v>
      </c>
      <c r="K364" s="11">
        <f>63.33302399424*E364*F364</f>
        <v>23116.5537578976</v>
      </c>
      <c r="L364" s="15">
        <f aca="true" t="shared" si="45" ref="L364:L374">M364/F364/E364/100</f>
        <v>4.2523601824704</v>
      </c>
      <c r="M364" s="13">
        <f t="shared" si="44"/>
        <v>155211.14666016962</v>
      </c>
    </row>
    <row r="365" spans="2:13" ht="37.5" thickBot="1" thickTop="1">
      <c r="B365" s="7">
        <v>359</v>
      </c>
      <c r="C365" s="5" t="s">
        <v>507</v>
      </c>
      <c r="D365" s="5" t="s">
        <v>505</v>
      </c>
      <c r="E365" s="9">
        <v>1</v>
      </c>
      <c r="F365" s="9">
        <v>1</v>
      </c>
      <c r="G365" s="11">
        <f>1262.6967408*E365*F365</f>
        <v>1262.6967408</v>
      </c>
      <c r="H365" s="11">
        <f>255.59568*E365*F365</f>
        <v>255.59568</v>
      </c>
      <c r="I365" s="11">
        <f t="shared" si="43"/>
        <v>0</v>
      </c>
      <c r="J365" s="11">
        <f>1265.2221342816*E365*F365</f>
        <v>1265.2221342816</v>
      </c>
      <c r="K365" s="11">
        <f>487.11504713928*E365*F365</f>
        <v>487.11504713928</v>
      </c>
      <c r="L365" s="15">
        <f t="shared" si="45"/>
        <v>32.7062960222088</v>
      </c>
      <c r="M365" s="13">
        <f t="shared" si="44"/>
        <v>3270.62960222088</v>
      </c>
    </row>
    <row r="366" spans="2:13" ht="49.5" thickBot="1" thickTop="1">
      <c r="B366" s="7">
        <v>360</v>
      </c>
      <c r="C366" s="5" t="s">
        <v>508</v>
      </c>
      <c r="D366" s="5" t="s">
        <v>505</v>
      </c>
      <c r="E366" s="9">
        <v>1</v>
      </c>
      <c r="F366" s="9">
        <v>1</v>
      </c>
      <c r="G366" s="11">
        <f>1369.7910336*E366*F366</f>
        <v>1369.7910336</v>
      </c>
      <c r="H366" s="11">
        <f>255.59568*E366*F366</f>
        <v>255.59568</v>
      </c>
      <c r="I366" s="11">
        <f t="shared" si="43"/>
        <v>0</v>
      </c>
      <c r="J366" s="11">
        <f>1372.5306156672*E366*F366</f>
        <v>1372.5306156672</v>
      </c>
      <c r="K366" s="11">
        <f>524.63553262176*E366*F366</f>
        <v>524.63553262176</v>
      </c>
      <c r="L366" s="15">
        <f t="shared" si="45"/>
        <v>35.2255286188896</v>
      </c>
      <c r="M366" s="13">
        <f t="shared" si="44"/>
        <v>3522.55286188896</v>
      </c>
    </row>
    <row r="367" spans="2:13" ht="25.5" thickBot="1" thickTop="1">
      <c r="B367" s="7">
        <v>361</v>
      </c>
      <c r="C367" s="5" t="s">
        <v>509</v>
      </c>
      <c r="D367" s="5" t="s">
        <v>510</v>
      </c>
      <c r="E367" s="9">
        <v>1</v>
      </c>
      <c r="F367" s="9">
        <v>1</v>
      </c>
      <c r="G367" s="11">
        <f>283.50432*E367*F367</f>
        <v>283.50432</v>
      </c>
      <c r="H367" s="11">
        <f>813.5954928*E367*F367</f>
        <v>813.5954928</v>
      </c>
      <c r="I367" s="11">
        <f t="shared" si="43"/>
        <v>0</v>
      </c>
      <c r="J367" s="11">
        <f>284.07132864*E367*F367</f>
        <v>284.07132864</v>
      </c>
      <c r="K367" s="11">
        <f>241.704949752*E367*F367</f>
        <v>241.704949752</v>
      </c>
      <c r="L367" s="15">
        <f t="shared" si="45"/>
        <v>16.228760911920002</v>
      </c>
      <c r="M367" s="13">
        <f t="shared" si="44"/>
        <v>1622.876091192</v>
      </c>
    </row>
    <row r="368" spans="2:13" ht="25.5" thickBot="1" thickTop="1">
      <c r="B368" s="7">
        <v>362</v>
      </c>
      <c r="C368" s="5" t="s">
        <v>511</v>
      </c>
      <c r="D368" s="5" t="s">
        <v>510</v>
      </c>
      <c r="E368" s="9">
        <v>1</v>
      </c>
      <c r="F368" s="9">
        <v>1</v>
      </c>
      <c r="G368" s="11">
        <f>540.7057392*E368*F368</f>
        <v>540.7057392</v>
      </c>
      <c r="H368" s="11">
        <f>813.5954928*E368*F368</f>
        <v>813.5954928</v>
      </c>
      <c r="I368" s="11">
        <f t="shared" si="43"/>
        <v>0</v>
      </c>
      <c r="J368" s="11">
        <f>541.7871506784*E368*F368</f>
        <v>541.7871506784</v>
      </c>
      <c r="K368" s="11">
        <f>331.81546696872*E368*F368</f>
        <v>331.81546696872</v>
      </c>
      <c r="L368" s="15">
        <f t="shared" si="45"/>
        <v>22.279038496471202</v>
      </c>
      <c r="M368" s="13">
        <f t="shared" si="44"/>
        <v>2227.9038496471203</v>
      </c>
    </row>
    <row r="369" spans="2:13" ht="25.5" thickBot="1" thickTop="1">
      <c r="B369" s="7">
        <v>363</v>
      </c>
      <c r="C369" s="5" t="s">
        <v>512</v>
      </c>
      <c r="D369" s="5" t="s">
        <v>513</v>
      </c>
      <c r="E369" s="9">
        <v>1</v>
      </c>
      <c r="F369" s="9">
        <v>2</v>
      </c>
      <c r="G369" s="11">
        <f>64.927104*E369*F369</f>
        <v>129.854208</v>
      </c>
      <c r="H369" s="11">
        <f>0*E369*F369</f>
        <v>0</v>
      </c>
      <c r="I369" s="11">
        <f t="shared" si="43"/>
        <v>0</v>
      </c>
      <c r="J369" s="11">
        <f>65.056958208*E369*F369</f>
        <v>130.113916416</v>
      </c>
      <c r="K369" s="11">
        <f>22.7472108864*E369*F369</f>
        <v>45.4944217728</v>
      </c>
      <c r="L369" s="15">
        <f t="shared" si="45"/>
        <v>1.5273127309440002</v>
      </c>
      <c r="M369" s="13">
        <f t="shared" si="44"/>
        <v>305.46254618880005</v>
      </c>
    </row>
    <row r="370" spans="2:13" ht="13.5" thickBot="1" thickTop="1">
      <c r="B370" s="7">
        <v>364</v>
      </c>
      <c r="C370" s="5" t="s">
        <v>514</v>
      </c>
      <c r="D370" s="5" t="s">
        <v>515</v>
      </c>
      <c r="E370" s="9">
        <v>1</v>
      </c>
      <c r="F370" s="9">
        <v>2</v>
      </c>
      <c r="G370" s="11">
        <f>74.026128*E370*F370</f>
        <v>148.052256</v>
      </c>
      <c r="H370" s="11">
        <f>70.40754*E370*F370</f>
        <v>140.81508</v>
      </c>
      <c r="I370" s="11">
        <f t="shared" si="43"/>
        <v>0</v>
      </c>
      <c r="J370" s="11">
        <f>74.174180256*E370*F370</f>
        <v>148.348360512</v>
      </c>
      <c r="K370" s="11">
        <f>38.2563734448*E370*F370</f>
        <v>76.5127468896</v>
      </c>
      <c r="L370" s="15">
        <f>M370/F370/E370</f>
        <v>256.8642217008</v>
      </c>
      <c r="M370" s="13">
        <f t="shared" si="44"/>
        <v>513.7284434016</v>
      </c>
    </row>
    <row r="371" spans="2:13" ht="13.5" thickBot="1" thickTop="1">
      <c r="B371" s="7">
        <v>365</v>
      </c>
      <c r="C371" s="5" t="s">
        <v>516</v>
      </c>
      <c r="D371" s="5" t="s">
        <v>515</v>
      </c>
      <c r="E371" s="9">
        <v>1</v>
      </c>
      <c r="F371" s="9">
        <v>2</v>
      </c>
      <c r="G371" s="11">
        <f>126.00192*E371*F371</f>
        <v>252.00384</v>
      </c>
      <c r="H371" s="11">
        <f>70.40754*E371*F371</f>
        <v>140.81508</v>
      </c>
      <c r="I371" s="11">
        <f t="shared" si="43"/>
        <v>0</v>
      </c>
      <c r="J371" s="11">
        <f>126.25392384*E371*F371</f>
        <v>252.50784768</v>
      </c>
      <c r="K371" s="11">
        <f>56.466092172*E371*F371</f>
        <v>112.932184344</v>
      </c>
      <c r="L371" s="15">
        <f>M371/F371/E371</f>
        <v>379.129476012</v>
      </c>
      <c r="M371" s="13">
        <f t="shared" si="44"/>
        <v>758.258952024</v>
      </c>
    </row>
    <row r="372" spans="2:13" ht="37.5" thickBot="1" thickTop="1">
      <c r="B372" s="7">
        <v>366</v>
      </c>
      <c r="C372" s="5" t="s">
        <v>517</v>
      </c>
      <c r="D372" s="5" t="s">
        <v>518</v>
      </c>
      <c r="E372" s="9">
        <v>1</v>
      </c>
      <c r="F372" s="9">
        <v>1</v>
      </c>
      <c r="G372" s="11">
        <f>3375.5914368*E372*F372</f>
        <v>3375.5914368</v>
      </c>
      <c r="H372" s="11">
        <f>0*E372*F372</f>
        <v>0</v>
      </c>
      <c r="I372" s="11">
        <f t="shared" si="43"/>
        <v>0</v>
      </c>
      <c r="J372" s="11">
        <f>3382.3426196736*E372*F372</f>
        <v>3382.3426196736</v>
      </c>
      <c r="K372" s="11">
        <f>1182.6384598829*E372*F372</f>
        <v>1182.6384598829</v>
      </c>
      <c r="L372" s="15">
        <f t="shared" si="45"/>
        <v>79.405725163565</v>
      </c>
      <c r="M372" s="13">
        <f t="shared" si="44"/>
        <v>7940.572516356499</v>
      </c>
    </row>
    <row r="373" spans="2:13" ht="13.5" thickBot="1" thickTop="1">
      <c r="B373" s="7">
        <v>367</v>
      </c>
      <c r="C373" s="5" t="s">
        <v>519</v>
      </c>
      <c r="D373" s="5" t="s">
        <v>520</v>
      </c>
      <c r="E373" s="9">
        <v>1</v>
      </c>
      <c r="F373" s="9">
        <v>8</v>
      </c>
      <c r="G373" s="11">
        <f>11.81268*E373*F373</f>
        <v>94.50144</v>
      </c>
      <c r="H373" s="11">
        <f>39.481344*E373*F373</f>
        <v>315.850752</v>
      </c>
      <c r="I373" s="11">
        <f t="shared" si="43"/>
        <v>0</v>
      </c>
      <c r="J373" s="11">
        <f>11.83630536*E373*F373</f>
        <v>94.69044288</v>
      </c>
      <c r="K373" s="11">
        <f>11.047807638*E373*F373</f>
        <v>88.382461104</v>
      </c>
      <c r="L373" s="15">
        <f>M373/F373/E373</f>
        <v>74.178136998</v>
      </c>
      <c r="M373" s="13">
        <f t="shared" si="44"/>
        <v>593.425095984</v>
      </c>
    </row>
    <row r="374" spans="2:13" ht="37.5" thickBot="1" thickTop="1">
      <c r="B374" s="7">
        <v>368</v>
      </c>
      <c r="C374" s="5" t="s">
        <v>521</v>
      </c>
      <c r="D374" s="5" t="s">
        <v>522</v>
      </c>
      <c r="E374" s="9">
        <v>1</v>
      </c>
      <c r="F374" s="9">
        <v>1</v>
      </c>
      <c r="G374" s="11">
        <f>22986.301536*E374*F374</f>
        <v>22986.301536</v>
      </c>
      <c r="H374" s="11">
        <f>5827.752624096*E374*F374</f>
        <v>5827.752624096</v>
      </c>
      <c r="I374" s="11">
        <f t="shared" si="43"/>
        <v>0</v>
      </c>
      <c r="J374" s="11">
        <f>23032.274139072*E374*F374</f>
        <v>23032.274139072</v>
      </c>
      <c r="K374" s="11">
        <f>9073.1074523544*E374*F374</f>
        <v>9073.1074523544</v>
      </c>
      <c r="L374" s="15">
        <f t="shared" si="45"/>
        <v>609.194357515224</v>
      </c>
      <c r="M374" s="13">
        <f t="shared" si="44"/>
        <v>60919.435751522404</v>
      </c>
    </row>
    <row r="375" spans="2:13" ht="13.5" thickBot="1" thickTop="1">
      <c r="B375" s="7">
        <v>369</v>
      </c>
      <c r="C375" s="5" t="s">
        <v>523</v>
      </c>
      <c r="D375" s="5" t="s">
        <v>524</v>
      </c>
      <c r="E375" s="9">
        <v>1</v>
      </c>
      <c r="F375" s="9">
        <v>2</v>
      </c>
      <c r="G375" s="11">
        <f>150.7297968*E375*F375</f>
        <v>301.4595936</v>
      </c>
      <c r="H375" s="11">
        <f>4.1220036*E375*F375</f>
        <v>8.2440072</v>
      </c>
      <c r="I375" s="11">
        <f t="shared" si="43"/>
        <v>0</v>
      </c>
      <c r="J375" s="11">
        <f>151.0312563936*E375*F375</f>
        <v>302.0625127872</v>
      </c>
      <c r="K375" s="11">
        <f>53.52953493888*E375*F375</f>
        <v>107.05906987776</v>
      </c>
      <c r="L375" s="15">
        <f>M375/F375/E375/10</f>
        <v>35.94125917324799</v>
      </c>
      <c r="M375" s="13">
        <f t="shared" si="44"/>
        <v>718.8251834649599</v>
      </c>
    </row>
    <row r="376" spans="2:13" ht="13.5" thickBot="1" thickTop="1">
      <c r="B376" s="7">
        <v>370</v>
      </c>
      <c r="C376" s="5" t="s">
        <v>525</v>
      </c>
      <c r="D376" s="5" t="s">
        <v>526</v>
      </c>
      <c r="E376" s="9">
        <v>1</v>
      </c>
      <c r="F376" s="9">
        <v>2</v>
      </c>
      <c r="G376" s="11">
        <f>56.3858592*E376*F376</f>
        <v>112.7717184</v>
      </c>
      <c r="H376" s="11">
        <f>34.830144*E376*F376</f>
        <v>69.660288</v>
      </c>
      <c r="I376" s="11">
        <f t="shared" si="43"/>
        <v>0</v>
      </c>
      <c r="J376" s="11">
        <f>56.4986309184*E376*F376</f>
        <v>112.9972618368</v>
      </c>
      <c r="K376" s="11">
        <f>25.85006097072*E376*F376</f>
        <v>51.70012194144</v>
      </c>
      <c r="L376" s="15">
        <f>M376/F376/E376/10</f>
        <v>17.356469508912</v>
      </c>
      <c r="M376" s="13">
        <f t="shared" si="44"/>
        <v>347.12939017824</v>
      </c>
    </row>
    <row r="377" spans="2:13" ht="37.5" thickBot="1" thickTop="1">
      <c r="B377" s="7">
        <v>371</v>
      </c>
      <c r="C377" s="5" t="s">
        <v>32</v>
      </c>
      <c r="D377" s="5" t="s">
        <v>33</v>
      </c>
      <c r="E377" s="9">
        <v>1</v>
      </c>
      <c r="F377" s="9">
        <v>1</v>
      </c>
      <c r="G377" s="11">
        <f>2237.497317*E377*F377</f>
        <v>2237.497317</v>
      </c>
      <c r="H377" s="11">
        <f>1162.048380768*E377*F377</f>
        <v>1162.048380768</v>
      </c>
      <c r="I377" s="11">
        <f>660.231*E377*F377</f>
        <v>660.231</v>
      </c>
      <c r="J377" s="11">
        <f>2241.972311634*E377*F377</f>
        <v>2241.972311634</v>
      </c>
      <c r="K377" s="11">
        <f>1102.8060766454*E377*F377</f>
        <v>1102.8060766454</v>
      </c>
      <c r="L377" s="15">
        <f>M377/F377/E377/100</f>
        <v>74.045550860474</v>
      </c>
      <c r="M377" s="13">
        <f t="shared" si="44"/>
        <v>7404.5550860473995</v>
      </c>
    </row>
    <row r="378" spans="2:13" ht="37.5" thickBot="1" thickTop="1">
      <c r="B378" s="7">
        <v>372</v>
      </c>
      <c r="C378" s="5" t="s">
        <v>527</v>
      </c>
      <c r="D378" s="5" t="s">
        <v>33</v>
      </c>
      <c r="E378" s="9">
        <v>1</v>
      </c>
      <c r="F378" s="9">
        <v>1</v>
      </c>
      <c r="G378" s="11">
        <f>2668.541964*E378*F378</f>
        <v>2668.541964</v>
      </c>
      <c r="H378" s="11">
        <f>1632.704043168*E378*F378</f>
        <v>1632.704043168</v>
      </c>
      <c r="I378" s="11">
        <f>788.315814*E378*F378</f>
        <v>788.315814</v>
      </c>
      <c r="J378" s="11">
        <f>2673.879047928*E378*F378</f>
        <v>2673.879047928</v>
      </c>
      <c r="K378" s="11">
        <f>1358.6021520918*E378*F378</f>
        <v>1358.6021520918</v>
      </c>
      <c r="L378" s="15">
        <f>M378/F378/E378/100</f>
        <v>91.220430211878</v>
      </c>
      <c r="M378" s="13">
        <f t="shared" si="44"/>
        <v>9122.0430211878</v>
      </c>
    </row>
    <row r="379" spans="2:13" ht="37.5" thickBot="1" thickTop="1">
      <c r="B379" s="7">
        <v>373</v>
      </c>
      <c r="C379" s="5" t="s">
        <v>528</v>
      </c>
      <c r="D379" s="5" t="s">
        <v>33</v>
      </c>
      <c r="E379" s="9">
        <v>1</v>
      </c>
      <c r="F379" s="9">
        <v>1</v>
      </c>
      <c r="G379" s="11">
        <f>1931.65236*E379*F379</f>
        <v>1931.65236</v>
      </c>
      <c r="H379" s="11">
        <f>314.558132112*E379*F379</f>
        <v>314.558132112</v>
      </c>
      <c r="I379" s="11">
        <f>570.439584*E379*F379</f>
        <v>570.439584</v>
      </c>
      <c r="J379" s="11">
        <f>1935.51566472*E379*F379</f>
        <v>1935.51566472</v>
      </c>
      <c r="K379" s="11">
        <f>831.6290046456*E379*F379</f>
        <v>831.6290046456</v>
      </c>
      <c r="L379" s="15">
        <f>M379/F379/E379/100</f>
        <v>55.83794745477599</v>
      </c>
      <c r="M379" s="13">
        <f t="shared" si="44"/>
        <v>5583.7947454775995</v>
      </c>
    </row>
    <row r="380" spans="2:13" ht="37.5" thickBot="1" thickTop="1">
      <c r="B380" s="7">
        <v>374</v>
      </c>
      <c r="C380" s="5" t="s">
        <v>529</v>
      </c>
      <c r="D380" s="5" t="s">
        <v>33</v>
      </c>
      <c r="E380" s="9">
        <v>1</v>
      </c>
      <c r="F380" s="9">
        <v>1</v>
      </c>
      <c r="G380" s="11">
        <f>1931.65236*E380*F380</f>
        <v>1931.65236</v>
      </c>
      <c r="H380" s="11">
        <f>568.57734234*E380*F380</f>
        <v>568.57734234</v>
      </c>
      <c r="I380" s="11">
        <f>570.439584*E380*F380</f>
        <v>570.439584</v>
      </c>
      <c r="J380" s="11">
        <f>1935.51566472*E380*F380</f>
        <v>1935.51566472</v>
      </c>
      <c r="K380" s="11">
        <f>876.0823664355*E380*F380</f>
        <v>876.0823664355</v>
      </c>
      <c r="L380" s="15">
        <f>M380/F380/E380/100</f>
        <v>58.82267317495501</v>
      </c>
      <c r="M380" s="13">
        <f t="shared" si="44"/>
        <v>5882.267317495501</v>
      </c>
    </row>
    <row r="381" spans="2:13" ht="25.5" thickBot="1" thickTop="1">
      <c r="B381" s="7">
        <v>375</v>
      </c>
      <c r="C381" s="5" t="s">
        <v>530</v>
      </c>
      <c r="D381" s="5" t="s">
        <v>531</v>
      </c>
      <c r="E381" s="9">
        <v>1</v>
      </c>
      <c r="F381" s="9">
        <v>1</v>
      </c>
      <c r="G381" s="11">
        <f>209.478192*E381*F381</f>
        <v>209.478192</v>
      </c>
      <c r="H381" s="11">
        <f>1.22206608*E381*F381</f>
        <v>1.22206608</v>
      </c>
      <c r="I381" s="11">
        <f aca="true" t="shared" si="46" ref="I381:I395">0*E381*F381</f>
        <v>0</v>
      </c>
      <c r="J381" s="11">
        <f>209.897148384*E381*F381</f>
        <v>209.897148384</v>
      </c>
      <c r="K381" s="11">
        <f>73.6045461312*E381*F381</f>
        <v>73.6045461312</v>
      </c>
      <c r="L381" s="15">
        <f>M381/F381/E381/1000</f>
        <v>0.49420195259519994</v>
      </c>
      <c r="M381" s="13">
        <f t="shared" si="44"/>
        <v>494.20195259519994</v>
      </c>
    </row>
    <row r="382" spans="2:13" ht="25.5" thickBot="1" thickTop="1">
      <c r="B382" s="7">
        <v>376</v>
      </c>
      <c r="C382" s="5" t="s">
        <v>532</v>
      </c>
      <c r="D382" s="5" t="s">
        <v>531</v>
      </c>
      <c r="E382" s="9">
        <v>1</v>
      </c>
      <c r="F382" s="9">
        <v>1</v>
      </c>
      <c r="G382" s="11">
        <f>263.029008*E382*F382</f>
        <v>263.029008</v>
      </c>
      <c r="H382" s="11">
        <f>1.5153619392*E382*F382</f>
        <v>1.5153619392</v>
      </c>
      <c r="I382" s="11">
        <f t="shared" si="46"/>
        <v>0</v>
      </c>
      <c r="J382" s="11">
        <f>263.555066016*E382*F382</f>
        <v>263.555066016</v>
      </c>
      <c r="K382" s="11">
        <f>92.41740129216*E382*F382</f>
        <v>92.41740129216</v>
      </c>
      <c r="L382" s="15">
        <f aca="true" t="shared" si="47" ref="L382:L389">M382/F382/E382/1000</f>
        <v>0.62051683724736</v>
      </c>
      <c r="M382" s="13">
        <f t="shared" si="44"/>
        <v>620.51683724736</v>
      </c>
    </row>
    <row r="383" spans="2:13" ht="25.5" thickBot="1" thickTop="1">
      <c r="B383" s="7">
        <v>377</v>
      </c>
      <c r="C383" s="5" t="s">
        <v>533</v>
      </c>
      <c r="D383" s="5" t="s">
        <v>531</v>
      </c>
      <c r="E383" s="9">
        <v>1</v>
      </c>
      <c r="F383" s="9">
        <v>1</v>
      </c>
      <c r="G383" s="11">
        <f>315.0048*E383*F383</f>
        <v>315.0048</v>
      </c>
      <c r="H383" s="11">
        <f>1.8086577984*E383*F383</f>
        <v>1.8086577984</v>
      </c>
      <c r="I383" s="11">
        <f t="shared" si="46"/>
        <v>0</v>
      </c>
      <c r="J383" s="11">
        <f>315.6348096*E383*F383</f>
        <v>315.6348096</v>
      </c>
      <c r="K383" s="11">
        <f>110.67844679472*E383*F383</f>
        <v>110.67844679472</v>
      </c>
      <c r="L383" s="15">
        <f t="shared" si="47"/>
        <v>0.74312671419312</v>
      </c>
      <c r="M383" s="13">
        <f t="shared" si="44"/>
        <v>743.12671419312</v>
      </c>
    </row>
    <row r="384" spans="2:13" ht="25.5" thickBot="1" thickTop="1">
      <c r="B384" s="7">
        <v>378</v>
      </c>
      <c r="C384" s="5" t="s">
        <v>534</v>
      </c>
      <c r="D384" s="5" t="s">
        <v>531</v>
      </c>
      <c r="E384" s="9">
        <v>1</v>
      </c>
      <c r="F384" s="9">
        <v>1</v>
      </c>
      <c r="G384" s="11">
        <f>288.229392*E384*F384</f>
        <v>288.229392</v>
      </c>
      <c r="H384" s="11">
        <f>1.6620098688*E384*F384</f>
        <v>1.6620098688</v>
      </c>
      <c r="I384" s="11">
        <f t="shared" si="46"/>
        <v>0</v>
      </c>
      <c r="J384" s="11">
        <f>288.805850784*E384*F384</f>
        <v>288.805850784</v>
      </c>
      <c r="K384" s="11">
        <f>101.27201921424*E384*F384</f>
        <v>101.27201921424</v>
      </c>
      <c r="L384" s="15">
        <f t="shared" si="47"/>
        <v>0.67996927186704</v>
      </c>
      <c r="M384" s="13">
        <f t="shared" si="44"/>
        <v>679.96927186704</v>
      </c>
    </row>
    <row r="385" spans="2:13" ht="25.5" thickBot="1" thickTop="1">
      <c r="B385" s="7">
        <v>379</v>
      </c>
      <c r="C385" s="5" t="s">
        <v>535</v>
      </c>
      <c r="D385" s="5" t="s">
        <v>531</v>
      </c>
      <c r="E385" s="9">
        <v>1</v>
      </c>
      <c r="F385" s="9">
        <v>1</v>
      </c>
      <c r="G385" s="11">
        <f>341.780208*E385*F385</f>
        <v>341.780208</v>
      </c>
      <c r="H385" s="11">
        <f>1.955305728*E385*F385</f>
        <v>1.955305728</v>
      </c>
      <c r="I385" s="11">
        <f t="shared" si="46"/>
        <v>0</v>
      </c>
      <c r="J385" s="11">
        <f>342.463768416*E385*F385</f>
        <v>342.463768416</v>
      </c>
      <c r="K385" s="11">
        <f>120.0848743752*E385*F385</f>
        <v>120.0848743752</v>
      </c>
      <c r="L385" s="15">
        <f t="shared" si="47"/>
        <v>0.8062841565192</v>
      </c>
      <c r="M385" s="13">
        <f t="shared" si="44"/>
        <v>806.2841565192</v>
      </c>
    </row>
    <row r="386" spans="2:13" ht="25.5" thickBot="1" thickTop="1">
      <c r="B386" s="7">
        <v>380</v>
      </c>
      <c r="C386" s="5" t="s">
        <v>536</v>
      </c>
      <c r="D386" s="5" t="s">
        <v>531</v>
      </c>
      <c r="E386" s="9">
        <v>1</v>
      </c>
      <c r="F386" s="9">
        <v>1</v>
      </c>
      <c r="G386" s="11">
        <f>393.756*E386*F386</f>
        <v>393.756</v>
      </c>
      <c r="H386" s="11">
        <f>2.2486015872*E386*F386</f>
        <v>2.2486015872</v>
      </c>
      <c r="I386" s="11">
        <f t="shared" si="46"/>
        <v>0</v>
      </c>
      <c r="J386" s="11">
        <f>394.543512*E386*F386</f>
        <v>394.543512</v>
      </c>
      <c r="K386" s="11">
        <f>138.34591987776*E386*F386</f>
        <v>138.34591987776</v>
      </c>
      <c r="L386" s="15">
        <f t="shared" si="47"/>
        <v>0.9288940334649601</v>
      </c>
      <c r="M386" s="13">
        <f t="shared" si="44"/>
        <v>928.8940334649601</v>
      </c>
    </row>
    <row r="387" spans="2:13" ht="25.5" thickBot="1" thickTop="1">
      <c r="B387" s="7">
        <v>381</v>
      </c>
      <c r="C387" s="5" t="s">
        <v>537</v>
      </c>
      <c r="D387" s="5" t="s">
        <v>531</v>
      </c>
      <c r="E387" s="9">
        <v>1</v>
      </c>
      <c r="F387" s="9">
        <v>1</v>
      </c>
      <c r="G387" s="11">
        <f>341.780208*E387*F387</f>
        <v>341.780208</v>
      </c>
      <c r="H387" s="11">
        <f>1.955305728*E387*F387</f>
        <v>1.955305728</v>
      </c>
      <c r="I387" s="11">
        <f t="shared" si="46"/>
        <v>0</v>
      </c>
      <c r="J387" s="11">
        <f>342.463768416*E387*F387</f>
        <v>342.463768416</v>
      </c>
      <c r="K387" s="11">
        <f>120.0848743752*E387*F387</f>
        <v>120.0848743752</v>
      </c>
      <c r="L387" s="15">
        <f t="shared" si="47"/>
        <v>0.8062841565192</v>
      </c>
      <c r="M387" s="13">
        <f t="shared" si="44"/>
        <v>806.2841565192</v>
      </c>
    </row>
    <row r="388" spans="2:13" ht="25.5" thickBot="1" thickTop="1">
      <c r="B388" s="7">
        <v>382</v>
      </c>
      <c r="C388" s="5" t="s">
        <v>538</v>
      </c>
      <c r="D388" s="5" t="s">
        <v>531</v>
      </c>
      <c r="E388" s="9">
        <v>1</v>
      </c>
      <c r="F388" s="9">
        <v>1</v>
      </c>
      <c r="G388" s="11">
        <f>393.756*E388*F388</f>
        <v>393.756</v>
      </c>
      <c r="H388" s="11">
        <f>2.2486015872*E388*F388</f>
        <v>2.2486015872</v>
      </c>
      <c r="I388" s="11">
        <f t="shared" si="46"/>
        <v>0</v>
      </c>
      <c r="J388" s="11">
        <f>394.543512*E388*F388</f>
        <v>394.543512</v>
      </c>
      <c r="K388" s="11">
        <f>138.34591987776*E388*F388</f>
        <v>138.34591987776</v>
      </c>
      <c r="L388" s="15">
        <f t="shared" si="47"/>
        <v>0.9288940334649601</v>
      </c>
      <c r="M388" s="13">
        <f t="shared" si="44"/>
        <v>928.8940334649601</v>
      </c>
    </row>
    <row r="389" spans="2:13" ht="25.5" thickBot="1" thickTop="1">
      <c r="B389" s="7">
        <v>383</v>
      </c>
      <c r="C389" s="5" t="s">
        <v>539</v>
      </c>
      <c r="D389" s="5" t="s">
        <v>531</v>
      </c>
      <c r="E389" s="9">
        <v>1</v>
      </c>
      <c r="F389" s="9">
        <v>1</v>
      </c>
      <c r="G389" s="11">
        <f>445.731792*E389*F389</f>
        <v>445.731792</v>
      </c>
      <c r="H389" s="11">
        <f>2.5418974464*E389*F389</f>
        <v>2.5418974464</v>
      </c>
      <c r="I389" s="11">
        <f t="shared" si="46"/>
        <v>0</v>
      </c>
      <c r="J389" s="11">
        <f>446.623255584*E389*F389</f>
        <v>446.623255584</v>
      </c>
      <c r="K389" s="11">
        <f>156.60696538032*E389*F389</f>
        <v>156.60696538032</v>
      </c>
      <c r="L389" s="15">
        <f t="shared" si="47"/>
        <v>1.05150391041072</v>
      </c>
      <c r="M389" s="13">
        <f t="shared" si="44"/>
        <v>1051.50391041072</v>
      </c>
    </row>
    <row r="390" spans="2:13" ht="25.5" thickBot="1" thickTop="1">
      <c r="B390" s="7">
        <v>384</v>
      </c>
      <c r="C390" s="5" t="s">
        <v>540</v>
      </c>
      <c r="D390" s="5" t="s">
        <v>541</v>
      </c>
      <c r="E390" s="9">
        <v>1</v>
      </c>
      <c r="F390" s="9">
        <v>1</v>
      </c>
      <c r="G390" s="11">
        <f>10500.685008*E390*F390</f>
        <v>10500.685008</v>
      </c>
      <c r="H390" s="11">
        <f>0*E390*F390</f>
        <v>0</v>
      </c>
      <c r="I390" s="11">
        <f t="shared" si="46"/>
        <v>0</v>
      </c>
      <c r="J390" s="11">
        <f>10521.686378016*E390*F390</f>
        <v>10521.686378016</v>
      </c>
      <c r="K390" s="11">
        <f>3678.9149925528*E390*F390</f>
        <v>3678.9149925528</v>
      </c>
      <c r="L390" s="15">
        <f aca="true" t="shared" si="48" ref="L390:L395">M390/F390/E390/100000</f>
        <v>0.24701286378568799</v>
      </c>
      <c r="M390" s="13">
        <f t="shared" si="44"/>
        <v>24701.2863785688</v>
      </c>
    </row>
    <row r="391" spans="2:13" ht="25.5" thickBot="1" thickTop="1">
      <c r="B391" s="7">
        <v>385</v>
      </c>
      <c r="C391" s="5" t="s">
        <v>542</v>
      </c>
      <c r="D391" s="5" t="s">
        <v>541</v>
      </c>
      <c r="E391" s="9">
        <v>1</v>
      </c>
      <c r="F391" s="9">
        <v>1</v>
      </c>
      <c r="G391" s="11">
        <f>18375.805008*E391*F391</f>
        <v>18375.805008</v>
      </c>
      <c r="H391" s="11">
        <f>0*E391*F391</f>
        <v>0</v>
      </c>
      <c r="I391" s="11">
        <f t="shared" si="46"/>
        <v>0</v>
      </c>
      <c r="J391" s="11">
        <f>18412.556618016*E391*F391</f>
        <v>18412.556618016</v>
      </c>
      <c r="K391" s="11">
        <f>6437.9632845528*E391*F391</f>
        <v>6437.9632845528</v>
      </c>
      <c r="L391" s="15">
        <f t="shared" si="48"/>
        <v>0.43226324910568803</v>
      </c>
      <c r="M391" s="13">
        <f t="shared" si="44"/>
        <v>43226.3249105688</v>
      </c>
    </row>
    <row r="392" spans="2:13" ht="25.5" thickBot="1" thickTop="1">
      <c r="B392" s="7">
        <v>386</v>
      </c>
      <c r="C392" s="5" t="s">
        <v>543</v>
      </c>
      <c r="D392" s="5" t="s">
        <v>541</v>
      </c>
      <c r="E392" s="9">
        <v>1</v>
      </c>
      <c r="F392" s="9">
        <v>1</v>
      </c>
      <c r="G392" s="11">
        <f>20999.794992*E392*F392</f>
        <v>20999.794992</v>
      </c>
      <c r="H392" s="11">
        <f>0*E392*F392</f>
        <v>0</v>
      </c>
      <c r="I392" s="11">
        <f t="shared" si="46"/>
        <v>0</v>
      </c>
      <c r="J392" s="11">
        <f>21041.794581984*E392*F392</f>
        <v>21041.794581984</v>
      </c>
      <c r="K392" s="11">
        <f>7357.2781754472*E392*F392</f>
        <v>7357.2781754472</v>
      </c>
      <c r="L392" s="15">
        <f t="shared" si="48"/>
        <v>0.493988677494312</v>
      </c>
      <c r="M392" s="13">
        <f t="shared" si="44"/>
        <v>49398.8677494312</v>
      </c>
    </row>
    <row r="393" spans="2:13" ht="25.5" thickBot="1" thickTop="1">
      <c r="B393" s="7">
        <v>387</v>
      </c>
      <c r="C393" s="5" t="s">
        <v>544</v>
      </c>
      <c r="D393" s="5" t="s">
        <v>541</v>
      </c>
      <c r="E393" s="9">
        <v>1</v>
      </c>
      <c r="F393" s="9">
        <v>2</v>
      </c>
      <c r="G393" s="11">
        <f>183753.325008*E393*F393</f>
        <v>367506.650016</v>
      </c>
      <c r="H393" s="11">
        <f>1051.3190073024*E393*F393</f>
        <v>2102.6380146048</v>
      </c>
      <c r="I393" s="11">
        <f t="shared" si="46"/>
        <v>0</v>
      </c>
      <c r="J393" s="11">
        <f>184120.83165802*E393*F393</f>
        <v>368241.66331604</v>
      </c>
      <c r="K393" s="11">
        <f>64561.958242831*E393*F393</f>
        <v>129123.916485662</v>
      </c>
      <c r="L393" s="15">
        <f t="shared" si="48"/>
        <v>4.3348743391615345</v>
      </c>
      <c r="M393" s="13">
        <f t="shared" si="44"/>
        <v>866974.8678323069</v>
      </c>
    </row>
    <row r="394" spans="2:13" ht="13.5" thickBot="1" thickTop="1">
      <c r="B394" s="7">
        <v>388</v>
      </c>
      <c r="C394" s="5" t="s">
        <v>545</v>
      </c>
      <c r="D394" s="5" t="s">
        <v>546</v>
      </c>
      <c r="E394" s="9">
        <v>1</v>
      </c>
      <c r="F394" s="9">
        <v>80</v>
      </c>
      <c r="G394" s="11">
        <f>20212.282992*E394*F394</f>
        <v>1616982.63936</v>
      </c>
      <c r="H394" s="11">
        <f>117.31834368*E394*F394</f>
        <v>9385.4674944</v>
      </c>
      <c r="I394" s="11">
        <f t="shared" si="46"/>
        <v>0</v>
      </c>
      <c r="J394" s="11">
        <f>20252.707557984*E394*F394</f>
        <v>1620216.60463872</v>
      </c>
      <c r="K394" s="11">
        <f>7101.9040563912*E394*F394</f>
        <v>568152.324511296</v>
      </c>
      <c r="L394" s="15">
        <f t="shared" si="48"/>
        <v>0.47684212950055194</v>
      </c>
      <c r="M394" s="13">
        <f aca="true" t="shared" si="49" ref="M394:M425">SUM(G394:K394)</f>
        <v>3814737.0360044157</v>
      </c>
    </row>
    <row r="395" spans="2:13" ht="13.5" thickBot="1" thickTop="1">
      <c r="B395" s="7">
        <v>389</v>
      </c>
      <c r="C395" s="5" t="s">
        <v>547</v>
      </c>
      <c r="D395" s="5" t="s">
        <v>548</v>
      </c>
      <c r="E395" s="9">
        <v>1</v>
      </c>
      <c r="F395" s="9">
        <v>1</v>
      </c>
      <c r="G395" s="11">
        <f>15750.24*E395*F395</f>
        <v>15750.24</v>
      </c>
      <c r="H395" s="11">
        <f>0*E395*F395</f>
        <v>0</v>
      </c>
      <c r="I395" s="11">
        <f t="shared" si="46"/>
        <v>0</v>
      </c>
      <c r="J395" s="11">
        <f>15781.74048*E395*F395</f>
        <v>15781.74048</v>
      </c>
      <c r="K395" s="11">
        <f>5518.096584*E395*F395</f>
        <v>5518.096584</v>
      </c>
      <c r="L395" s="15">
        <f t="shared" si="48"/>
        <v>0.37050077064</v>
      </c>
      <c r="M395" s="13">
        <f t="shared" si="49"/>
        <v>37050.077064</v>
      </c>
    </row>
    <row r="396" spans="2:13" ht="13.5" thickBot="1" thickTop="1">
      <c r="B396" s="7">
        <v>390</v>
      </c>
      <c r="C396" s="5" t="s">
        <v>549</v>
      </c>
      <c r="D396" s="5" t="s">
        <v>550</v>
      </c>
      <c r="E396" s="9">
        <v>1</v>
      </c>
      <c r="F396" s="9">
        <v>1</v>
      </c>
      <c r="G396" s="11">
        <f>167.443584*E396*F396</f>
        <v>167.443584</v>
      </c>
      <c r="H396" s="11">
        <f>29.32958592*E396*F396</f>
        <v>29.32958592</v>
      </c>
      <c r="I396" s="11">
        <f>45.4779*E396*F396</f>
        <v>45.4779</v>
      </c>
      <c r="J396" s="11">
        <f>167.778471168*E396*F396</f>
        <v>167.778471168</v>
      </c>
      <c r="K396" s="11">
        <f>71.7551696904*E396*F396</f>
        <v>71.7551696904</v>
      </c>
      <c r="L396" s="15">
        <f>M396/F396/E396/100</f>
        <v>4.817847107784</v>
      </c>
      <c r="M396" s="13">
        <f t="shared" si="49"/>
        <v>481.7847107784</v>
      </c>
    </row>
    <row r="397" spans="2:13" ht="13.5" thickBot="1" thickTop="1">
      <c r="B397" s="7">
        <v>391</v>
      </c>
      <c r="C397" s="5" t="s">
        <v>551</v>
      </c>
      <c r="D397" s="5" t="s">
        <v>552</v>
      </c>
      <c r="E397" s="9">
        <v>1</v>
      </c>
      <c r="F397" s="9">
        <v>1</v>
      </c>
      <c r="G397" s="11">
        <f>379.580784*E397*F397</f>
        <v>379.580784</v>
      </c>
      <c r="H397" s="11">
        <f>488.826432*E397*F397</f>
        <v>488.826432</v>
      </c>
      <c r="I397" s="11">
        <f>0*E397*F397</f>
        <v>0</v>
      </c>
      <c r="J397" s="11">
        <f>380.339945568*E397*F397</f>
        <v>380.339945568</v>
      </c>
      <c r="K397" s="11">
        <f>218.5307532744*E397*F397</f>
        <v>218.5307532744</v>
      </c>
      <c r="L397" s="15">
        <f>M397/F397/E397/100</f>
        <v>14.672779148424002</v>
      </c>
      <c r="M397" s="13">
        <f t="shared" si="49"/>
        <v>1467.2779148424002</v>
      </c>
    </row>
    <row r="398" spans="2:13" ht="13.5" thickBot="1" thickTop="1">
      <c r="B398" s="7">
        <v>392</v>
      </c>
      <c r="C398" s="5" t="s">
        <v>553</v>
      </c>
      <c r="D398" s="5" t="s">
        <v>554</v>
      </c>
      <c r="E398" s="9">
        <v>1</v>
      </c>
      <c r="F398" s="9">
        <v>1</v>
      </c>
      <c r="G398" s="11">
        <f>185690.4*E398*F398</f>
        <v>185690.4</v>
      </c>
      <c r="H398" s="11">
        <f aca="true" t="shared" si="50" ref="H398:H403">0*E398*F398</f>
        <v>0</v>
      </c>
      <c r="I398" s="11">
        <f>140472.2592*E398*F398</f>
        <v>140472.2592</v>
      </c>
      <c r="J398" s="11">
        <f>242223.6411216*E398*F398</f>
        <v>242223.6411216</v>
      </c>
      <c r="K398" s="11">
        <f>99467.60255628*E398*F398</f>
        <v>99467.60255628</v>
      </c>
      <c r="L398" s="15">
        <f>M398/F398/E398/100</f>
        <v>6678.5390287788</v>
      </c>
      <c r="M398" s="13">
        <f t="shared" si="49"/>
        <v>667853.9028778799</v>
      </c>
    </row>
    <row r="399" spans="2:13" ht="13.5" thickBot="1" thickTop="1">
      <c r="B399" s="7">
        <v>393</v>
      </c>
      <c r="C399" s="5" t="s">
        <v>555</v>
      </c>
      <c r="D399" s="5" t="s">
        <v>554</v>
      </c>
      <c r="E399" s="9">
        <v>1</v>
      </c>
      <c r="F399" s="9">
        <v>1</v>
      </c>
      <c r="G399" s="11">
        <f>59273.433*E399*F399</f>
        <v>59273.433</v>
      </c>
      <c r="H399" s="11">
        <f t="shared" si="50"/>
        <v>0</v>
      </c>
      <c r="I399" s="11">
        <f>0*E399*F399</f>
        <v>0</v>
      </c>
      <c r="J399" s="11">
        <f>59391.979866*E399*F399</f>
        <v>59391.979866</v>
      </c>
      <c r="K399" s="11">
        <f>20766.44725155*E399*F399</f>
        <v>20766.44725155</v>
      </c>
      <c r="L399" s="15">
        <f>M399/F399/E399/100</f>
        <v>1394.3186011755001</v>
      </c>
      <c r="M399" s="13">
        <f t="shared" si="49"/>
        <v>139431.86011755</v>
      </c>
    </row>
    <row r="400" spans="2:13" ht="25.5" thickBot="1" thickTop="1">
      <c r="B400" s="7">
        <v>394</v>
      </c>
      <c r="C400" s="5" t="s">
        <v>556</v>
      </c>
      <c r="D400" s="5" t="s">
        <v>554</v>
      </c>
      <c r="E400" s="9">
        <v>1</v>
      </c>
      <c r="F400" s="9">
        <v>1</v>
      </c>
      <c r="G400" s="11">
        <f>105224.56*E400*F400</f>
        <v>105224.56</v>
      </c>
      <c r="H400" s="11">
        <f t="shared" si="50"/>
        <v>0</v>
      </c>
      <c r="I400" s="11">
        <f>24922.4976*E400*F400</f>
        <v>24922.4976</v>
      </c>
      <c r="J400" s="11">
        <f>115399.2101448*E400*F400</f>
        <v>115399.2101448</v>
      </c>
      <c r="K400" s="11">
        <f>42970.59685534*E400*F400</f>
        <v>42970.59685534</v>
      </c>
      <c r="L400" s="15">
        <f>M400/F400/E400/100</f>
        <v>2885.1686460014002</v>
      </c>
      <c r="M400" s="13">
        <f t="shared" si="49"/>
        <v>288516.86460014</v>
      </c>
    </row>
    <row r="401" spans="2:13" ht="13.5" thickBot="1" thickTop="1">
      <c r="B401" s="7">
        <v>395</v>
      </c>
      <c r="C401" s="5" t="s">
        <v>557</v>
      </c>
      <c r="D401" s="5" t="s">
        <v>558</v>
      </c>
      <c r="E401" s="9">
        <v>1</v>
      </c>
      <c r="F401" s="9">
        <v>1</v>
      </c>
      <c r="G401" s="11">
        <f>208901.7*E401*F401</f>
        <v>208901.7</v>
      </c>
      <c r="H401" s="11">
        <f t="shared" si="50"/>
        <v>0</v>
      </c>
      <c r="I401" s="11">
        <f aca="true" t="shared" si="51" ref="I401:I417">0*E401*F401</f>
        <v>0</v>
      </c>
      <c r="J401" s="11">
        <f>209319.5034*E401*F401</f>
        <v>209319.5034</v>
      </c>
      <c r="K401" s="11">
        <f>73188.710595*E401*F401</f>
        <v>73188.710595</v>
      </c>
      <c r="L401" s="15">
        <f>M401/F401/E401/1000</f>
        <v>491.409913995</v>
      </c>
      <c r="M401" s="13">
        <f t="shared" si="49"/>
        <v>491409.913995</v>
      </c>
    </row>
    <row r="402" spans="2:13" ht="13.5" thickBot="1" thickTop="1">
      <c r="B402" s="7">
        <v>396</v>
      </c>
      <c r="C402" s="5" t="s">
        <v>559</v>
      </c>
      <c r="D402" s="5" t="s">
        <v>558</v>
      </c>
      <c r="E402" s="9">
        <v>1</v>
      </c>
      <c r="F402" s="9">
        <v>1</v>
      </c>
      <c r="G402" s="11">
        <f>77371*E402*F402</f>
        <v>77371</v>
      </c>
      <c r="H402" s="11">
        <f t="shared" si="50"/>
        <v>0</v>
      </c>
      <c r="I402" s="11">
        <f t="shared" si="51"/>
        <v>0</v>
      </c>
      <c r="J402" s="11">
        <f>77525.742*E402*F402</f>
        <v>77525.742</v>
      </c>
      <c r="K402" s="11">
        <f>27106.92985*E402*F402</f>
        <v>27106.92985</v>
      </c>
      <c r="L402" s="15">
        <f>M402/F402/E402/1000</f>
        <v>182.00367185</v>
      </c>
      <c r="M402" s="13">
        <f t="shared" si="49"/>
        <v>182003.67184999998</v>
      </c>
    </row>
    <row r="403" spans="2:13" ht="13.5" thickBot="1" thickTop="1">
      <c r="B403" s="7">
        <v>397</v>
      </c>
      <c r="C403" s="5" t="s">
        <v>560</v>
      </c>
      <c r="D403" s="5" t="s">
        <v>561</v>
      </c>
      <c r="E403" s="9">
        <v>1</v>
      </c>
      <c r="F403" s="9">
        <v>1</v>
      </c>
      <c r="G403" s="11">
        <f>43327.76*E403*F403</f>
        <v>43327.76</v>
      </c>
      <c r="H403" s="11">
        <f t="shared" si="50"/>
        <v>0</v>
      </c>
      <c r="I403" s="11">
        <f t="shared" si="51"/>
        <v>0</v>
      </c>
      <c r="J403" s="11">
        <f>43414.41552*E403*F403</f>
        <v>43414.41552</v>
      </c>
      <c r="K403" s="11">
        <f>15179.880716*E403*F403</f>
        <v>15179.880716</v>
      </c>
      <c r="L403" s="15">
        <f>M403/F403/E403/1000</f>
        <v>101.922056236</v>
      </c>
      <c r="M403" s="13">
        <f t="shared" si="49"/>
        <v>101922.056236</v>
      </c>
    </row>
    <row r="404" spans="2:13" ht="13.5" thickBot="1" thickTop="1">
      <c r="B404" s="7">
        <v>398</v>
      </c>
      <c r="C404" s="5" t="s">
        <v>562</v>
      </c>
      <c r="D404" s="5" t="s">
        <v>561</v>
      </c>
      <c r="E404" s="9">
        <v>1</v>
      </c>
      <c r="F404" s="9">
        <v>1</v>
      </c>
      <c r="G404" s="11">
        <f>362.25552*E404*F404</f>
        <v>362.25552</v>
      </c>
      <c r="H404" s="11">
        <f>1.4175966528*E404*F404</f>
        <v>1.4175966528</v>
      </c>
      <c r="I404" s="11">
        <f t="shared" si="51"/>
        <v>0</v>
      </c>
      <c r="J404" s="11">
        <f>362.98003104*E404*F404</f>
        <v>362.98003104</v>
      </c>
      <c r="K404" s="11">
        <f>127.16430084624*E404*F404</f>
        <v>127.16430084624</v>
      </c>
      <c r="L404" s="15">
        <f>M404/F404/E404/1000</f>
        <v>0.8538174485390401</v>
      </c>
      <c r="M404" s="13">
        <f t="shared" si="49"/>
        <v>853.81744853904</v>
      </c>
    </row>
    <row r="405" spans="2:13" ht="13.5" thickBot="1" thickTop="1">
      <c r="B405" s="7">
        <v>399</v>
      </c>
      <c r="C405" s="5" t="s">
        <v>563</v>
      </c>
      <c r="D405" s="5" t="s">
        <v>564</v>
      </c>
      <c r="E405" s="9">
        <v>1</v>
      </c>
      <c r="F405" s="9">
        <v>1</v>
      </c>
      <c r="G405" s="11">
        <f>71.976820608*E405*F405</f>
        <v>71.976820608</v>
      </c>
      <c r="H405" s="11">
        <f>28.9290543192*E405*F405</f>
        <v>28.9290543192</v>
      </c>
      <c r="I405" s="11">
        <f t="shared" si="51"/>
        <v>0</v>
      </c>
      <c r="J405" s="11">
        <f>72.120774249216*E405*F405</f>
        <v>72.120774249216</v>
      </c>
      <c r="K405" s="11">
        <f>30.279663605873*E405*F405</f>
        <v>30.279663605873</v>
      </c>
      <c r="L405" s="15">
        <f>M405/F405/E405</f>
        <v>203.30631278228898</v>
      </c>
      <c r="M405" s="13">
        <f t="shared" si="49"/>
        <v>203.30631278228898</v>
      </c>
    </row>
    <row r="406" spans="2:13" ht="13.5" thickBot="1" thickTop="1">
      <c r="B406" s="7">
        <v>400</v>
      </c>
      <c r="C406" s="5" t="s">
        <v>565</v>
      </c>
      <c r="D406" s="5" t="s">
        <v>564</v>
      </c>
      <c r="E406" s="9">
        <v>1</v>
      </c>
      <c r="F406" s="9">
        <v>1</v>
      </c>
      <c r="G406" s="11">
        <f>60.5739354*E406*F406</f>
        <v>60.5739354</v>
      </c>
      <c r="H406" s="11">
        <f>47.9013180912*E406*F406</f>
        <v>47.9013180912</v>
      </c>
      <c r="I406" s="11">
        <f t="shared" si="51"/>
        <v>0</v>
      </c>
      <c r="J406" s="11">
        <f>60.6950832708*E406*F406</f>
        <v>60.6950832708</v>
      </c>
      <c r="K406" s="11">
        <f>29.60480893335*E406*F406</f>
        <v>29.60480893335</v>
      </c>
      <c r="L406" s="15">
        <f aca="true" t="shared" si="52" ref="L406:L428">M406/F406/E406</f>
        <v>198.77514569534998</v>
      </c>
      <c r="M406" s="13">
        <f t="shared" si="49"/>
        <v>198.77514569534998</v>
      </c>
    </row>
    <row r="407" spans="2:13" ht="13.5" thickBot="1" thickTop="1">
      <c r="B407" s="7">
        <v>401</v>
      </c>
      <c r="C407" s="5" t="s">
        <v>566</v>
      </c>
      <c r="D407" s="5" t="s">
        <v>564</v>
      </c>
      <c r="E407" s="9">
        <v>1</v>
      </c>
      <c r="F407" s="9">
        <v>1</v>
      </c>
      <c r="G407" s="11">
        <f>206.741568*E407*F407</f>
        <v>206.741568</v>
      </c>
      <c r="H407" s="11">
        <f>54.34823609208*E407*F407</f>
        <v>54.34823609208</v>
      </c>
      <c r="I407" s="11">
        <f t="shared" si="51"/>
        <v>0</v>
      </c>
      <c r="J407" s="11">
        <f>207.155051136*E407*F407</f>
        <v>207.155051136</v>
      </c>
      <c r="K407" s="11">
        <f>81.942849664914*E407*F407</f>
        <v>81.942849664914</v>
      </c>
      <c r="L407" s="15">
        <f t="shared" si="52"/>
        <v>550.187704892994</v>
      </c>
      <c r="M407" s="13">
        <f t="shared" si="49"/>
        <v>550.187704892994</v>
      </c>
    </row>
    <row r="408" spans="2:13" ht="13.5" thickBot="1" thickTop="1">
      <c r="B408" s="7">
        <v>402</v>
      </c>
      <c r="C408" s="5" t="s">
        <v>567</v>
      </c>
      <c r="D408" s="5" t="s">
        <v>568</v>
      </c>
      <c r="E408" s="9">
        <v>1</v>
      </c>
      <c r="F408" s="9">
        <v>1</v>
      </c>
      <c r="G408" s="11">
        <f>101.1495936*E408*F408</f>
        <v>101.1495936</v>
      </c>
      <c r="H408" s="11">
        <f>38.47249438704*E408*F408</f>
        <v>38.47249438704</v>
      </c>
      <c r="I408" s="11">
        <f t="shared" si="51"/>
        <v>0</v>
      </c>
      <c r="J408" s="11">
        <f>101.3518927872*E408*F408</f>
        <v>101.3518927872</v>
      </c>
      <c r="K408" s="11">
        <f>42.170446635492*E408*F408</f>
        <v>42.170446635492</v>
      </c>
      <c r="L408" s="15">
        <f t="shared" si="52"/>
        <v>283.144427409732</v>
      </c>
      <c r="M408" s="13">
        <f t="shared" si="49"/>
        <v>283.144427409732</v>
      </c>
    </row>
    <row r="409" spans="2:13" ht="13.5" thickBot="1" thickTop="1">
      <c r="B409" s="7">
        <v>403</v>
      </c>
      <c r="C409" s="5" t="s">
        <v>569</v>
      </c>
      <c r="D409" s="5" t="s">
        <v>568</v>
      </c>
      <c r="E409" s="9">
        <v>1</v>
      </c>
      <c r="F409" s="9">
        <v>1</v>
      </c>
      <c r="G409" s="11">
        <f>102.8582016*E409*F409</f>
        <v>102.8582016</v>
      </c>
      <c r="H409" s="11">
        <f>39.36190914*E409*F409</f>
        <v>39.36190914</v>
      </c>
      <c r="I409" s="11">
        <f t="shared" si="51"/>
        <v>0</v>
      </c>
      <c r="J409" s="11">
        <f>103.0639180032*E409*F409</f>
        <v>103.0639180032</v>
      </c>
      <c r="K409" s="11">
        <f>42.92470503006*E409*F409</f>
        <v>42.92470503006</v>
      </c>
      <c r="L409" s="15">
        <f t="shared" si="52"/>
        <v>288.20873377326</v>
      </c>
      <c r="M409" s="13">
        <f t="shared" si="49"/>
        <v>288.20873377326</v>
      </c>
    </row>
    <row r="410" spans="2:13" ht="13.5" thickBot="1" thickTop="1">
      <c r="B410" s="7">
        <v>404</v>
      </c>
      <c r="C410" s="5" t="s">
        <v>570</v>
      </c>
      <c r="D410" s="5" t="s">
        <v>571</v>
      </c>
      <c r="E410" s="9">
        <v>1</v>
      </c>
      <c r="F410" s="9">
        <v>1</v>
      </c>
      <c r="G410" s="11">
        <f>103.0290624*E410*F410</f>
        <v>103.0290624</v>
      </c>
      <c r="H410" s="11">
        <f>42.20665963344*E410*F410</f>
        <v>42.20665963344</v>
      </c>
      <c r="I410" s="11">
        <f t="shared" si="51"/>
        <v>0</v>
      </c>
      <c r="J410" s="11">
        <f>103.2351205248*E410*F410</f>
        <v>103.2351205248</v>
      </c>
      <c r="K410" s="11">
        <f>43.482397447692*E410*F410</f>
        <v>43.482397447692</v>
      </c>
      <c r="L410" s="15">
        <f t="shared" si="52"/>
        <v>291.953240005932</v>
      </c>
      <c r="M410" s="13">
        <f t="shared" si="49"/>
        <v>291.953240005932</v>
      </c>
    </row>
    <row r="411" spans="2:13" ht="13.5" thickBot="1" thickTop="1">
      <c r="B411" s="7">
        <v>405</v>
      </c>
      <c r="C411" s="5" t="s">
        <v>572</v>
      </c>
      <c r="D411" s="5" t="s">
        <v>573</v>
      </c>
      <c r="E411" s="9">
        <v>1</v>
      </c>
      <c r="F411" s="9">
        <v>1</v>
      </c>
      <c r="G411" s="11">
        <f>111.05952*E411*F411</f>
        <v>111.05952</v>
      </c>
      <c r="H411" s="11">
        <f>42.641189352*E411*F411</f>
        <v>42.641189352</v>
      </c>
      <c r="I411" s="11">
        <f t="shared" si="51"/>
        <v>0</v>
      </c>
      <c r="J411" s="11">
        <f>111.28163904*E411*F411</f>
        <v>111.28163904</v>
      </c>
      <c r="K411" s="11">
        <f>46.3719109686*E411*F411</f>
        <v>46.3719109686</v>
      </c>
      <c r="L411" s="15">
        <f t="shared" si="52"/>
        <v>311.3542593606</v>
      </c>
      <c r="M411" s="13">
        <f t="shared" si="49"/>
        <v>311.3542593606</v>
      </c>
    </row>
    <row r="412" spans="2:13" ht="13.5" thickBot="1" thickTop="1">
      <c r="B412" s="7">
        <v>406</v>
      </c>
      <c r="C412" s="5" t="s">
        <v>574</v>
      </c>
      <c r="D412" s="5" t="s">
        <v>575</v>
      </c>
      <c r="E412" s="9">
        <v>1</v>
      </c>
      <c r="F412" s="9">
        <v>1</v>
      </c>
      <c r="G412" s="11">
        <f>237.496512*E412*F412</f>
        <v>237.496512</v>
      </c>
      <c r="H412" s="11">
        <f>39.3379942608*E412*F412</f>
        <v>39.3379942608</v>
      </c>
      <c r="I412" s="11">
        <f t="shared" si="51"/>
        <v>0</v>
      </c>
      <c r="J412" s="11">
        <f>237.971505024*E412*F412</f>
        <v>237.971505024</v>
      </c>
      <c r="K412" s="11">
        <f>90.09105197484*E412*F412</f>
        <v>90.09105197484</v>
      </c>
      <c r="L412" s="15">
        <f t="shared" si="52"/>
        <v>604.8970632596399</v>
      </c>
      <c r="M412" s="13">
        <f t="shared" si="49"/>
        <v>604.8970632596399</v>
      </c>
    </row>
    <row r="413" spans="2:13" ht="13.5" thickBot="1" thickTop="1">
      <c r="B413" s="7">
        <v>407</v>
      </c>
      <c r="C413" s="5" t="s">
        <v>576</v>
      </c>
      <c r="D413" s="5" t="s">
        <v>577</v>
      </c>
      <c r="E413" s="9">
        <v>1</v>
      </c>
      <c r="F413" s="9">
        <v>1</v>
      </c>
      <c r="G413" s="11">
        <f>139.4224128*E413*F413</f>
        <v>139.4224128</v>
      </c>
      <c r="H413" s="11">
        <f>52.21443577824*E413*F413</f>
        <v>52.21443577824</v>
      </c>
      <c r="I413" s="11">
        <f t="shared" si="51"/>
        <v>0</v>
      </c>
      <c r="J413" s="11">
        <f>139.7012576256*E413*F413</f>
        <v>139.7012576256</v>
      </c>
      <c r="K413" s="11">
        <f>57.984168585672*E413*F413</f>
        <v>57.984168585672</v>
      </c>
      <c r="L413" s="15">
        <f t="shared" si="52"/>
        <v>389.322274789512</v>
      </c>
      <c r="M413" s="13">
        <f t="shared" si="49"/>
        <v>389.322274789512</v>
      </c>
    </row>
    <row r="414" spans="2:13" ht="13.5" thickBot="1" thickTop="1">
      <c r="B414" s="7">
        <v>408</v>
      </c>
      <c r="C414" s="5" t="s">
        <v>578</v>
      </c>
      <c r="D414" s="5" t="s">
        <v>579</v>
      </c>
      <c r="E414" s="9">
        <v>1</v>
      </c>
      <c r="F414" s="9">
        <v>1</v>
      </c>
      <c r="G414" s="11">
        <f>161.8051776*E414*F414</f>
        <v>161.8051776</v>
      </c>
      <c r="H414" s="11">
        <f>26.53362978264*E414*F414</f>
        <v>26.53362978264</v>
      </c>
      <c r="I414" s="11">
        <f t="shared" si="51"/>
        <v>0</v>
      </c>
      <c r="J414" s="11">
        <f>162.1287879552*E414*F414</f>
        <v>162.1287879552</v>
      </c>
      <c r="K414" s="11">
        <f>61.331829184122*E414*F414</f>
        <v>61.331829184122</v>
      </c>
      <c r="L414" s="15">
        <f t="shared" si="52"/>
        <v>411.799424521962</v>
      </c>
      <c r="M414" s="13">
        <f t="shared" si="49"/>
        <v>411.799424521962</v>
      </c>
    </row>
    <row r="415" spans="2:13" ht="13.5" thickBot="1" thickTop="1">
      <c r="B415" s="7">
        <v>409</v>
      </c>
      <c r="C415" s="5" t="s">
        <v>580</v>
      </c>
      <c r="D415" s="5" t="s">
        <v>579</v>
      </c>
      <c r="E415" s="9">
        <v>1</v>
      </c>
      <c r="F415" s="9">
        <v>1</v>
      </c>
      <c r="G415" s="11">
        <f>333.8620032*E415*F415</f>
        <v>333.8620032</v>
      </c>
      <c r="H415" s="11">
        <f>54.6077473848*E415*F415</f>
        <v>54.6077473848</v>
      </c>
      <c r="I415" s="11">
        <f t="shared" si="51"/>
        <v>0</v>
      </c>
      <c r="J415" s="11">
        <f>334.5297272064*E415*F415</f>
        <v>334.5297272064</v>
      </c>
      <c r="K415" s="11">
        <f>126.52490861346*E415*F415</f>
        <v>126.52490861346</v>
      </c>
      <c r="L415" s="15">
        <f t="shared" si="52"/>
        <v>849.5243864046599</v>
      </c>
      <c r="M415" s="13">
        <f t="shared" si="49"/>
        <v>849.5243864046599</v>
      </c>
    </row>
    <row r="416" spans="2:13" ht="25.5" thickBot="1" thickTop="1">
      <c r="B416" s="7">
        <v>410</v>
      </c>
      <c r="C416" s="5" t="s">
        <v>581</v>
      </c>
      <c r="D416" s="5" t="s">
        <v>582</v>
      </c>
      <c r="E416" s="9">
        <v>1</v>
      </c>
      <c r="F416" s="9">
        <v>1</v>
      </c>
      <c r="G416" s="11">
        <f>222.11904*E416*F416</f>
        <v>222.11904</v>
      </c>
      <c r="H416" s="11">
        <f>26.635722902928*E416*F416</f>
        <v>26.635722902928</v>
      </c>
      <c r="I416" s="11">
        <f t="shared" si="51"/>
        <v>0</v>
      </c>
      <c r="J416" s="11">
        <f>222.56327808*E416*F416</f>
        <v>222.56327808</v>
      </c>
      <c r="K416" s="11">
        <f>82.480657172012*E416*F416</f>
        <v>82.480657172012</v>
      </c>
      <c r="L416" s="15">
        <f t="shared" si="52"/>
        <v>553.79869815494</v>
      </c>
      <c r="M416" s="13">
        <f t="shared" si="49"/>
        <v>553.79869815494</v>
      </c>
    </row>
    <row r="417" spans="2:13" ht="13.5" thickBot="1" thickTop="1">
      <c r="B417" s="7">
        <v>411</v>
      </c>
      <c r="C417" s="5" t="s">
        <v>583</v>
      </c>
      <c r="D417" s="5" t="s">
        <v>582</v>
      </c>
      <c r="E417" s="9">
        <v>1</v>
      </c>
      <c r="F417" s="9">
        <v>1</v>
      </c>
      <c r="G417" s="11">
        <f>37.589376*E417*F417</f>
        <v>37.589376</v>
      </c>
      <c r="H417" s="11">
        <f>15.61368263184*E417*F417</f>
        <v>15.61368263184</v>
      </c>
      <c r="I417" s="11">
        <f t="shared" si="51"/>
        <v>0</v>
      </c>
      <c r="J417" s="11">
        <f>37.664554752*E417*F417</f>
        <v>37.664554752</v>
      </c>
      <c r="K417" s="11">
        <f>15.901832342172*E417*F417</f>
        <v>15.901832342172</v>
      </c>
      <c r="L417" s="15">
        <f t="shared" si="52"/>
        <v>106.769445726012</v>
      </c>
      <c r="M417" s="13">
        <f t="shared" si="49"/>
        <v>106.769445726012</v>
      </c>
    </row>
    <row r="418" spans="2:13" ht="13.5" thickBot="1" thickTop="1">
      <c r="B418" s="7">
        <v>412</v>
      </c>
      <c r="C418" s="5" t="s">
        <v>584</v>
      </c>
      <c r="D418" s="5" t="s">
        <v>564</v>
      </c>
      <c r="E418" s="9">
        <v>1</v>
      </c>
      <c r="F418" s="9">
        <v>1</v>
      </c>
      <c r="G418" s="11">
        <f>529.66848*E418*F418</f>
        <v>529.66848</v>
      </c>
      <c r="H418" s="11">
        <f>1147.1817044304*E418*F418</f>
        <v>1147.1817044304</v>
      </c>
      <c r="I418" s="11">
        <f>4.559178*E418*F418</f>
        <v>4.559178</v>
      </c>
      <c r="J418" s="11">
        <f>530.72781696*E418*F418</f>
        <v>530.72781696</v>
      </c>
      <c r="K418" s="11">
        <f>387.12400639332*E418*F418</f>
        <v>387.12400639332</v>
      </c>
      <c r="L418" s="15">
        <f t="shared" si="52"/>
        <v>2599.26118578372</v>
      </c>
      <c r="M418" s="13">
        <f t="shared" si="49"/>
        <v>2599.26118578372</v>
      </c>
    </row>
    <row r="419" spans="2:13" ht="13.5" thickBot="1" thickTop="1">
      <c r="B419" s="7">
        <v>413</v>
      </c>
      <c r="C419" s="5" t="s">
        <v>585</v>
      </c>
      <c r="D419" s="5" t="s">
        <v>564</v>
      </c>
      <c r="E419" s="9">
        <v>1</v>
      </c>
      <c r="F419" s="9">
        <v>1</v>
      </c>
      <c r="G419" s="11">
        <f>332.39626398*E419*F419</f>
        <v>332.39626398</v>
      </c>
      <c r="H419" s="11">
        <f>40.6629081648*E419*F419</f>
        <v>40.6629081648</v>
      </c>
      <c r="I419" s="11">
        <f>0*E419*F419</f>
        <v>0</v>
      </c>
      <c r="J419" s="11">
        <f>333.06105650796*E419*F419</f>
        <v>333.06105650796</v>
      </c>
      <c r="K419" s="11">
        <f>123.57104001423*E419*F419</f>
        <v>123.57104001423</v>
      </c>
      <c r="L419" s="15">
        <f t="shared" si="52"/>
        <v>829.69126866699</v>
      </c>
      <c r="M419" s="13">
        <f t="shared" si="49"/>
        <v>829.69126866699</v>
      </c>
    </row>
    <row r="420" spans="2:13" ht="13.5" thickBot="1" thickTop="1">
      <c r="B420" s="7">
        <v>414</v>
      </c>
      <c r="C420" s="5" t="s">
        <v>586</v>
      </c>
      <c r="D420" s="5" t="s">
        <v>568</v>
      </c>
      <c r="E420" s="9">
        <v>1</v>
      </c>
      <c r="F420" s="9">
        <v>1</v>
      </c>
      <c r="G420" s="11">
        <f>768.8736*E420*F420</f>
        <v>768.8736</v>
      </c>
      <c r="H420" s="11">
        <f>580.322075832*E420*F420</f>
        <v>580.322075832</v>
      </c>
      <c r="I420" s="11">
        <f>4.559178*E420*F420</f>
        <v>4.559178</v>
      </c>
      <c r="J420" s="11">
        <f>770.4113472*E420*F420</f>
        <v>770.4113472</v>
      </c>
      <c r="K420" s="11">
        <f>371.7290851806*E420*F420</f>
        <v>371.7290851806</v>
      </c>
      <c r="L420" s="15">
        <f t="shared" si="52"/>
        <v>2495.8952862126002</v>
      </c>
      <c r="M420" s="13">
        <f t="shared" si="49"/>
        <v>2495.8952862126002</v>
      </c>
    </row>
    <row r="421" spans="2:13" ht="13.5" thickBot="1" thickTop="1">
      <c r="B421" s="7">
        <v>415</v>
      </c>
      <c r="C421" s="5" t="s">
        <v>587</v>
      </c>
      <c r="D421" s="5" t="s">
        <v>568</v>
      </c>
      <c r="E421" s="9">
        <v>1</v>
      </c>
      <c r="F421" s="9">
        <v>1</v>
      </c>
      <c r="G421" s="11">
        <f>481.827456*E421*F421</f>
        <v>481.827456</v>
      </c>
      <c r="H421" s="11">
        <f>235.484721072*E421*F421</f>
        <v>235.484721072</v>
      </c>
      <c r="I421" s="11">
        <f>0*E421*F421</f>
        <v>0</v>
      </c>
      <c r="J421" s="11">
        <f>482.791110912*E421*F421</f>
        <v>482.791110912</v>
      </c>
      <c r="K421" s="11">
        <f>210.0180753972*E421*F421</f>
        <v>210.0180753972</v>
      </c>
      <c r="L421" s="15">
        <f t="shared" si="52"/>
        <v>1410.1213633812</v>
      </c>
      <c r="M421" s="13">
        <f t="shared" si="49"/>
        <v>1410.1213633812</v>
      </c>
    </row>
    <row r="422" spans="2:13" ht="13.5" thickBot="1" thickTop="1">
      <c r="B422" s="7">
        <v>416</v>
      </c>
      <c r="C422" s="5" t="s">
        <v>588</v>
      </c>
      <c r="D422" s="5" t="s">
        <v>571</v>
      </c>
      <c r="E422" s="9">
        <v>1</v>
      </c>
      <c r="F422" s="9">
        <v>1</v>
      </c>
      <c r="G422" s="11">
        <f>358.80768*E422*F422</f>
        <v>358.80768</v>
      </c>
      <c r="H422" s="11">
        <f>199.2886584336*E422*F422</f>
        <v>199.2886584336</v>
      </c>
      <c r="I422" s="11">
        <f>0*E422*F422</f>
        <v>0</v>
      </c>
      <c r="J422" s="11">
        <f>359.52529536*E422*F422</f>
        <v>359.52529536</v>
      </c>
      <c r="K422" s="11">
        <f>160.58378591388*E422*F422</f>
        <v>160.58378591388</v>
      </c>
      <c r="L422" s="15">
        <f t="shared" si="52"/>
        <v>1078.2054197074801</v>
      </c>
      <c r="M422" s="13">
        <f t="shared" si="49"/>
        <v>1078.2054197074801</v>
      </c>
    </row>
    <row r="423" spans="2:13" ht="13.5" thickBot="1" thickTop="1">
      <c r="B423" s="7">
        <v>417</v>
      </c>
      <c r="C423" s="5" t="s">
        <v>589</v>
      </c>
      <c r="D423" s="5" t="s">
        <v>573</v>
      </c>
      <c r="E423" s="9">
        <v>1</v>
      </c>
      <c r="F423" s="9">
        <v>1</v>
      </c>
      <c r="G423" s="11">
        <f>4728.563796*E423*F423</f>
        <v>4728.563796</v>
      </c>
      <c r="H423" s="11">
        <f>526.27286682*E423*F423</f>
        <v>526.27286682</v>
      </c>
      <c r="I423" s="11">
        <f>55.98801*E423*F423</f>
        <v>55.98801</v>
      </c>
      <c r="J423" s="11">
        <f>4738.020923592*E423*F423</f>
        <v>4738.020923592</v>
      </c>
      <c r="K423" s="11">
        <f>1758.5479793721*E423*F423</f>
        <v>1758.5479793721</v>
      </c>
      <c r="L423" s="15">
        <f t="shared" si="52"/>
        <v>11807.3935757841</v>
      </c>
      <c r="M423" s="13">
        <f t="shared" si="49"/>
        <v>11807.3935757841</v>
      </c>
    </row>
    <row r="424" spans="2:13" ht="13.5" thickBot="1" thickTop="1">
      <c r="B424" s="7">
        <v>418</v>
      </c>
      <c r="C424" s="5" t="s">
        <v>590</v>
      </c>
      <c r="D424" s="5" t="s">
        <v>575</v>
      </c>
      <c r="E424" s="9">
        <v>1</v>
      </c>
      <c r="F424" s="9">
        <v>1</v>
      </c>
      <c r="G424" s="11">
        <f>4425.567564*E424*F424</f>
        <v>4425.567564</v>
      </c>
      <c r="H424" s="11">
        <f>363.25036372752*E424*F424</f>
        <v>363.25036372752</v>
      </c>
      <c r="I424" s="11">
        <f>52.542594*E424*F424</f>
        <v>52.542594</v>
      </c>
      <c r="J424" s="11">
        <f>4434.418699128*E424*F424</f>
        <v>4434.418699128</v>
      </c>
      <c r="K424" s="11">
        <f>1623.2613636497*E424*F424</f>
        <v>1623.2613636497</v>
      </c>
      <c r="L424" s="15">
        <f t="shared" si="52"/>
        <v>10899.04058450522</v>
      </c>
      <c r="M424" s="13">
        <f t="shared" si="49"/>
        <v>10899.04058450522</v>
      </c>
    </row>
    <row r="425" spans="2:13" ht="13.5" thickBot="1" thickTop="1">
      <c r="B425" s="7">
        <v>419</v>
      </c>
      <c r="C425" s="5" t="s">
        <v>591</v>
      </c>
      <c r="D425" s="5" t="s">
        <v>577</v>
      </c>
      <c r="E425" s="9">
        <v>1</v>
      </c>
      <c r="F425" s="9">
        <v>1</v>
      </c>
      <c r="G425" s="11">
        <f>393.211104*E425*F425</f>
        <v>393.211104</v>
      </c>
      <c r="H425" s="11">
        <f>20.095629552*E425*F425</f>
        <v>20.095629552</v>
      </c>
      <c r="I425" s="11">
        <f>0*E425*F425</f>
        <v>0</v>
      </c>
      <c r="J425" s="11">
        <f>393.997526208*E425*F425</f>
        <v>393.997526208</v>
      </c>
      <c r="K425" s="11">
        <f>141.278245458*E425*F425</f>
        <v>141.278245458</v>
      </c>
      <c r="L425" s="15">
        <f t="shared" si="52"/>
        <v>948.5825052179999</v>
      </c>
      <c r="M425" s="13">
        <f t="shared" si="49"/>
        <v>948.5825052179999</v>
      </c>
    </row>
    <row r="426" spans="2:13" ht="13.5" thickBot="1" thickTop="1">
      <c r="B426" s="7">
        <v>420</v>
      </c>
      <c r="C426" s="5" t="s">
        <v>592</v>
      </c>
      <c r="D426" s="5" t="s">
        <v>579</v>
      </c>
      <c r="E426" s="9">
        <v>1</v>
      </c>
      <c r="F426" s="9">
        <v>1</v>
      </c>
      <c r="G426" s="11">
        <f>2101.434258*E426*F426</f>
        <v>2101.434258</v>
      </c>
      <c r="H426" s="11">
        <f>278.7488581248*E426*F426</f>
        <v>278.7488581248</v>
      </c>
      <c r="I426" s="11">
        <f>35.88975*E426*F426</f>
        <v>35.88975</v>
      </c>
      <c r="J426" s="11">
        <f>2105.637126516*E426*F426</f>
        <v>2105.637126516</v>
      </c>
      <c r="K426" s="11">
        <f>791.29924871214*E426*F426</f>
        <v>791.29924871214</v>
      </c>
      <c r="L426" s="15">
        <f t="shared" si="52"/>
        <v>5313.00924135294</v>
      </c>
      <c r="M426" s="13">
        <f aca="true" t="shared" si="53" ref="M426:M457">SUM(G426:K426)</f>
        <v>5313.00924135294</v>
      </c>
    </row>
    <row r="427" spans="2:13" ht="13.5" thickBot="1" thickTop="1">
      <c r="B427" s="7">
        <v>421</v>
      </c>
      <c r="C427" s="5" t="s">
        <v>593</v>
      </c>
      <c r="D427" s="5" t="s">
        <v>579</v>
      </c>
      <c r="E427" s="9">
        <v>1</v>
      </c>
      <c r="F427" s="9">
        <v>1</v>
      </c>
      <c r="G427" s="11">
        <f>6239.729034*E427*F427</f>
        <v>6239.729034</v>
      </c>
      <c r="H427" s="11">
        <f>575.07680376*E427*F427</f>
        <v>575.07680376</v>
      </c>
      <c r="I427" s="11">
        <f>73.9041732*E427*F427</f>
        <v>73.9041732</v>
      </c>
      <c r="J427" s="11">
        <f>6252.208492068*E427*F427</f>
        <v>6252.208492068</v>
      </c>
      <c r="K427" s="11">
        <f>2299.6607380299*E427*F427</f>
        <v>2299.6607380299</v>
      </c>
      <c r="L427" s="15">
        <f t="shared" si="52"/>
        <v>15440.579241057898</v>
      </c>
      <c r="M427" s="13">
        <f t="shared" si="53"/>
        <v>15440.579241057898</v>
      </c>
    </row>
    <row r="428" spans="2:13" ht="25.5" thickBot="1" thickTop="1">
      <c r="B428" s="7">
        <v>422</v>
      </c>
      <c r="C428" s="5" t="s">
        <v>594</v>
      </c>
      <c r="D428" s="5" t="s">
        <v>595</v>
      </c>
      <c r="E428" s="9">
        <v>1</v>
      </c>
      <c r="F428" s="9">
        <v>1</v>
      </c>
      <c r="G428" s="11">
        <f>170.8608*E428*F428</f>
        <v>170.8608</v>
      </c>
      <c r="H428" s="11">
        <f>1744.484273694*E428*F428</f>
        <v>1744.484273694</v>
      </c>
      <c r="I428" s="11">
        <f>3.3384*E428*F428</f>
        <v>3.3384</v>
      </c>
      <c r="J428" s="11">
        <f>171.2025216*E428*F428</f>
        <v>171.2025216</v>
      </c>
      <c r="K428" s="11">
        <f>365.73004917645*E428*F428</f>
        <v>365.73004917645</v>
      </c>
      <c r="L428" s="15">
        <f t="shared" si="52"/>
        <v>2455.61604447045</v>
      </c>
      <c r="M428" s="13">
        <f t="shared" si="53"/>
        <v>2455.61604447045</v>
      </c>
    </row>
    <row r="429" spans="2:13" ht="37.5" thickBot="1" thickTop="1">
      <c r="B429" s="7">
        <v>423</v>
      </c>
      <c r="C429" s="5" t="s">
        <v>596</v>
      </c>
      <c r="D429" s="5" t="s">
        <v>597</v>
      </c>
      <c r="E429" s="9">
        <v>1</v>
      </c>
      <c r="F429" s="9">
        <v>1</v>
      </c>
      <c r="G429" s="11">
        <f>24171.252336*E429*F429</f>
        <v>24171.252336</v>
      </c>
      <c r="H429" s="11">
        <f>7944.38389728*E429*F429</f>
        <v>7944.38389728</v>
      </c>
      <c r="I429" s="11">
        <f aca="true" t="shared" si="54" ref="I429:I453">0*E429*F429</f>
        <v>0</v>
      </c>
      <c r="J429" s="11">
        <f>24219.594840672*E429*F429</f>
        <v>24219.594840672</v>
      </c>
      <c r="K429" s="11">
        <f>9858.6654379416*E429*F429</f>
        <v>9858.6654379416</v>
      </c>
      <c r="L429" s="15">
        <f>M429/F429/E429/100</f>
        <v>661.938965118936</v>
      </c>
      <c r="M429" s="13">
        <f t="shared" si="53"/>
        <v>66193.8965118936</v>
      </c>
    </row>
    <row r="430" spans="2:13" ht="13.5" thickBot="1" thickTop="1">
      <c r="B430" s="7">
        <v>424</v>
      </c>
      <c r="C430" s="5" t="s">
        <v>598</v>
      </c>
      <c r="D430" s="5" t="s">
        <v>571</v>
      </c>
      <c r="E430" s="9">
        <v>1</v>
      </c>
      <c r="F430" s="9">
        <v>1</v>
      </c>
      <c r="G430" s="11">
        <f>17.5986624*E430*F430</f>
        <v>17.5986624</v>
      </c>
      <c r="H430" s="11">
        <f>1596.50790048*E430*F430</f>
        <v>1596.50790048</v>
      </c>
      <c r="I430" s="11">
        <f t="shared" si="54"/>
        <v>0</v>
      </c>
      <c r="J430" s="11">
        <f>17.6338597248*E430*F430</f>
        <v>17.6338597248</v>
      </c>
      <c r="K430" s="11">
        <f>285.55457395584*E430*F430</f>
        <v>285.55457395584</v>
      </c>
      <c r="L430" s="15">
        <f>M430/F430/E430</f>
        <v>1917.29499656064</v>
      </c>
      <c r="M430" s="13">
        <f t="shared" si="53"/>
        <v>1917.29499656064</v>
      </c>
    </row>
    <row r="431" spans="2:13" ht="37.5" thickBot="1" thickTop="1">
      <c r="B431" s="7">
        <v>425</v>
      </c>
      <c r="C431" s="5" t="s">
        <v>599</v>
      </c>
      <c r="D431" s="5" t="s">
        <v>600</v>
      </c>
      <c r="E431" s="9">
        <v>1</v>
      </c>
      <c r="F431" s="9">
        <v>1</v>
      </c>
      <c r="G431" s="11">
        <f>3674.530992*E431*F431</f>
        <v>3674.530992</v>
      </c>
      <c r="H431" s="11">
        <f aca="true" t="shared" si="55" ref="H431:H437">0*E431*F431</f>
        <v>0</v>
      </c>
      <c r="I431" s="11">
        <f t="shared" si="54"/>
        <v>0</v>
      </c>
      <c r="J431" s="11">
        <f>3681.880053984*E431*F431</f>
        <v>3681.880053984</v>
      </c>
      <c r="K431" s="11">
        <f>1287.3719330472*E431*F431</f>
        <v>1287.3719330472</v>
      </c>
      <c r="L431" s="15">
        <f aca="true" t="shared" si="56" ref="L431:L436">M431/F431/E431/10000</f>
        <v>0.8643782979031199</v>
      </c>
      <c r="M431" s="13">
        <f t="shared" si="53"/>
        <v>8643.782979031199</v>
      </c>
    </row>
    <row r="432" spans="2:13" ht="37.5" thickBot="1" thickTop="1">
      <c r="B432" s="7">
        <v>426</v>
      </c>
      <c r="C432" s="5" t="s">
        <v>601</v>
      </c>
      <c r="D432" s="5" t="s">
        <v>600</v>
      </c>
      <c r="E432" s="9">
        <v>1</v>
      </c>
      <c r="F432" s="9">
        <v>1</v>
      </c>
      <c r="G432" s="11">
        <f>4200.589008*E432*F432</f>
        <v>4200.589008</v>
      </c>
      <c r="H432" s="11">
        <f t="shared" si="55"/>
        <v>0</v>
      </c>
      <c r="I432" s="11">
        <f t="shared" si="54"/>
        <v>0</v>
      </c>
      <c r="J432" s="11">
        <f>4208.990186016*E432*F432</f>
        <v>4208.990186016</v>
      </c>
      <c r="K432" s="11">
        <f>1471.6763589528*E432*F432</f>
        <v>1471.6763589528</v>
      </c>
      <c r="L432" s="15">
        <f t="shared" si="56"/>
        <v>0.98812555529688</v>
      </c>
      <c r="M432" s="13">
        <f t="shared" si="53"/>
        <v>9881.2555529688</v>
      </c>
    </row>
    <row r="433" spans="2:13" ht="37.5" thickBot="1" thickTop="1">
      <c r="B433" s="7">
        <v>427</v>
      </c>
      <c r="C433" s="5" t="s">
        <v>602</v>
      </c>
      <c r="D433" s="5" t="s">
        <v>600</v>
      </c>
      <c r="E433" s="9">
        <v>1</v>
      </c>
      <c r="F433" s="9">
        <v>1</v>
      </c>
      <c r="G433" s="11">
        <f>5249.554992*E433*F433</f>
        <v>5249.554992</v>
      </c>
      <c r="H433" s="11">
        <f t="shared" si="55"/>
        <v>0</v>
      </c>
      <c r="I433" s="11">
        <f t="shared" si="54"/>
        <v>0</v>
      </c>
      <c r="J433" s="11">
        <f>5260.054101984*E433*F433</f>
        <v>5260.054101984</v>
      </c>
      <c r="K433" s="11">
        <f>1839.1815914472*E433*F433</f>
        <v>1839.1815914472</v>
      </c>
      <c r="L433" s="15">
        <f t="shared" si="56"/>
        <v>1.23487906854312</v>
      </c>
      <c r="M433" s="13">
        <f t="shared" si="53"/>
        <v>12348.790685431199</v>
      </c>
    </row>
    <row r="434" spans="2:13" ht="37.5" thickBot="1" thickTop="1">
      <c r="B434" s="7">
        <v>428</v>
      </c>
      <c r="C434" s="5" t="s">
        <v>603</v>
      </c>
      <c r="D434" s="5" t="s">
        <v>600</v>
      </c>
      <c r="E434" s="9">
        <v>1</v>
      </c>
      <c r="F434" s="9">
        <v>1</v>
      </c>
      <c r="G434" s="11">
        <f>111563.674992*E434*F434</f>
        <v>111563.674992</v>
      </c>
      <c r="H434" s="11">
        <f t="shared" si="55"/>
        <v>0</v>
      </c>
      <c r="I434" s="11">
        <f t="shared" si="54"/>
        <v>0</v>
      </c>
      <c r="J434" s="11">
        <f>111786.80234198*E434*F434</f>
        <v>111786.80234198</v>
      </c>
      <c r="K434" s="11">
        <f>39086.333533447*E434*F434</f>
        <v>39086.333533447</v>
      </c>
      <c r="L434" s="15">
        <f t="shared" si="56"/>
        <v>26.243681086742704</v>
      </c>
      <c r="M434" s="13">
        <f t="shared" si="53"/>
        <v>262436.81086742703</v>
      </c>
    </row>
    <row r="435" spans="2:13" ht="37.5" thickBot="1" thickTop="1">
      <c r="B435" s="7">
        <v>429</v>
      </c>
      <c r="C435" s="5" t="s">
        <v>604</v>
      </c>
      <c r="D435" s="5" t="s">
        <v>600</v>
      </c>
      <c r="E435" s="9">
        <v>1</v>
      </c>
      <c r="F435" s="9">
        <v>1</v>
      </c>
      <c r="G435" s="11">
        <f>117602.317008*E435*F435</f>
        <v>117602.317008</v>
      </c>
      <c r="H435" s="11">
        <f t="shared" si="55"/>
        <v>0</v>
      </c>
      <c r="I435" s="11">
        <f t="shared" si="54"/>
        <v>0</v>
      </c>
      <c r="J435" s="11">
        <f>117837.52164202*E435*F435</f>
        <v>117837.52164202</v>
      </c>
      <c r="K435" s="11">
        <f>41201.971763753*E435*F435</f>
        <v>41201.971763753</v>
      </c>
      <c r="L435" s="15">
        <f t="shared" si="56"/>
        <v>27.6641810413773</v>
      </c>
      <c r="M435" s="13">
        <f t="shared" si="53"/>
        <v>276641.810413773</v>
      </c>
    </row>
    <row r="436" spans="2:13" ht="37.5" thickBot="1" thickTop="1">
      <c r="B436" s="7">
        <v>430</v>
      </c>
      <c r="C436" s="5" t="s">
        <v>605</v>
      </c>
      <c r="D436" s="5" t="s">
        <v>600</v>
      </c>
      <c r="E436" s="9">
        <v>1</v>
      </c>
      <c r="F436" s="9">
        <v>1</v>
      </c>
      <c r="G436" s="11">
        <f>134927.581008*E436*F436</f>
        <v>134927.581008</v>
      </c>
      <c r="H436" s="11">
        <f t="shared" si="55"/>
        <v>0</v>
      </c>
      <c r="I436" s="11">
        <f t="shared" si="54"/>
        <v>0</v>
      </c>
      <c r="J436" s="11">
        <f>135197.43617002*E436*F436</f>
        <v>135197.43617002</v>
      </c>
      <c r="K436" s="11">
        <f>47271.878006153*E436*F436</f>
        <v>47271.878006153</v>
      </c>
      <c r="L436" s="15">
        <f t="shared" si="56"/>
        <v>31.739689518417297</v>
      </c>
      <c r="M436" s="13">
        <f t="shared" si="53"/>
        <v>317396.89518417296</v>
      </c>
    </row>
    <row r="437" spans="2:13" ht="13.5" thickBot="1" thickTop="1">
      <c r="B437" s="7">
        <v>431</v>
      </c>
      <c r="C437" s="5" t="s">
        <v>606</v>
      </c>
      <c r="D437" s="5" t="s">
        <v>607</v>
      </c>
      <c r="E437" s="9">
        <v>1</v>
      </c>
      <c r="F437" s="9">
        <v>1</v>
      </c>
      <c r="G437" s="11">
        <f>131.1994992*E437*F437</f>
        <v>131.1994992</v>
      </c>
      <c r="H437" s="11">
        <f t="shared" si="55"/>
        <v>0</v>
      </c>
      <c r="I437" s="11">
        <f t="shared" si="54"/>
        <v>0</v>
      </c>
      <c r="J437" s="11">
        <f>131.4618981984*E437*F437</f>
        <v>131.4618981984</v>
      </c>
      <c r="K437" s="11">
        <f>45.96574454472*E437*F437</f>
        <v>45.96574454472</v>
      </c>
      <c r="L437" s="15">
        <f>M437/F437/E437</f>
        <v>308.62714194312</v>
      </c>
      <c r="M437" s="13">
        <f t="shared" si="53"/>
        <v>308.62714194312</v>
      </c>
    </row>
    <row r="438" spans="2:13" ht="13.5" thickBot="1" thickTop="1">
      <c r="B438" s="7">
        <v>432</v>
      </c>
      <c r="C438" s="5" t="s">
        <v>608</v>
      </c>
      <c r="D438" s="5" t="s">
        <v>40</v>
      </c>
      <c r="E438" s="9">
        <v>1</v>
      </c>
      <c r="F438" s="9">
        <v>1</v>
      </c>
      <c r="G438" s="11">
        <f>34.0205184*E438*F438</f>
        <v>34.0205184</v>
      </c>
      <c r="H438" s="11">
        <f>342.24645888*E438*F438</f>
        <v>342.24645888</v>
      </c>
      <c r="I438" s="11">
        <f t="shared" si="54"/>
        <v>0</v>
      </c>
      <c r="J438" s="11">
        <f>34.0885594368*E438*F438</f>
        <v>34.0885594368</v>
      </c>
      <c r="K438" s="11">
        <f>71.81221892544*E438*F438</f>
        <v>71.81221892544</v>
      </c>
      <c r="L438" s="15">
        <f>M438/F438/E438/100</f>
        <v>4.8216775564224</v>
      </c>
      <c r="M438" s="13">
        <f t="shared" si="53"/>
        <v>482.16775564223997</v>
      </c>
    </row>
    <row r="439" spans="2:13" ht="13.5" thickBot="1" thickTop="1">
      <c r="B439" s="7">
        <v>433</v>
      </c>
      <c r="C439" s="5" t="s">
        <v>609</v>
      </c>
      <c r="D439" s="5" t="s">
        <v>40</v>
      </c>
      <c r="E439" s="9">
        <v>1</v>
      </c>
      <c r="F439" s="9">
        <v>1</v>
      </c>
      <c r="G439" s="11">
        <f>39.3756*E439*F439</f>
        <v>39.3756</v>
      </c>
      <c r="H439" s="11">
        <f>641.7121104*E439*F439</f>
        <v>641.7121104</v>
      </c>
      <c r="I439" s="11">
        <f t="shared" si="54"/>
        <v>0</v>
      </c>
      <c r="J439" s="11">
        <f>39.4543512*E439*F439</f>
        <v>39.4543512</v>
      </c>
      <c r="K439" s="11">
        <f>126.09486078*E439*F439</f>
        <v>126.09486078</v>
      </c>
      <c r="L439" s="15">
        <f aca="true" t="shared" si="57" ref="L439:L444">M439/F439/E439/100</f>
        <v>8.4663692238</v>
      </c>
      <c r="M439" s="13">
        <f t="shared" si="53"/>
        <v>846.63692238</v>
      </c>
    </row>
    <row r="440" spans="2:13" ht="13.5" thickBot="1" thickTop="1">
      <c r="B440" s="7">
        <v>434</v>
      </c>
      <c r="C440" s="5" t="s">
        <v>610</v>
      </c>
      <c r="D440" s="5" t="s">
        <v>40</v>
      </c>
      <c r="E440" s="9">
        <v>1</v>
      </c>
      <c r="F440" s="9">
        <v>1</v>
      </c>
      <c r="G440" s="11">
        <f>44.62042992*E440*F440</f>
        <v>44.62042992</v>
      </c>
      <c r="H440" s="11">
        <f>641.7121104*E440*F440</f>
        <v>641.7121104</v>
      </c>
      <c r="I440" s="11">
        <f t="shared" si="54"/>
        <v>0</v>
      </c>
      <c r="J440" s="11">
        <f>44.70967077984*E440*F440</f>
        <v>44.70967077984</v>
      </c>
      <c r="K440" s="11">
        <f>127.93238694247*E440*F440</f>
        <v>127.93238694247</v>
      </c>
      <c r="L440" s="15">
        <f t="shared" si="57"/>
        <v>8.5897459804231</v>
      </c>
      <c r="M440" s="13">
        <f t="shared" si="53"/>
        <v>858.97459804231</v>
      </c>
    </row>
    <row r="441" spans="2:13" ht="25.5" thickBot="1" thickTop="1">
      <c r="B441" s="7">
        <v>435</v>
      </c>
      <c r="C441" s="5" t="s">
        <v>611</v>
      </c>
      <c r="D441" s="5" t="s">
        <v>612</v>
      </c>
      <c r="E441" s="9">
        <v>1</v>
      </c>
      <c r="F441" s="9">
        <v>1</v>
      </c>
      <c r="G441" s="11">
        <f>425.25648*E441*F441</f>
        <v>425.25648</v>
      </c>
      <c r="H441" s="11">
        <f>0*E441*F441</f>
        <v>0</v>
      </c>
      <c r="I441" s="11">
        <f t="shared" si="54"/>
        <v>0</v>
      </c>
      <c r="J441" s="11">
        <f>426.10699296*E441*F441</f>
        <v>426.10699296</v>
      </c>
      <c r="K441" s="11">
        <f>148.988607768*E441*F441</f>
        <v>148.988607768</v>
      </c>
      <c r="L441" s="15">
        <f t="shared" si="57"/>
        <v>10.003520807280001</v>
      </c>
      <c r="M441" s="13">
        <f t="shared" si="53"/>
        <v>1000.3520807280001</v>
      </c>
    </row>
    <row r="442" spans="2:13" ht="13.5" thickBot="1" thickTop="1">
      <c r="B442" s="7">
        <v>436</v>
      </c>
      <c r="C442" s="5" t="s">
        <v>613</v>
      </c>
      <c r="D442" s="5" t="s">
        <v>614</v>
      </c>
      <c r="E442" s="9">
        <v>1</v>
      </c>
      <c r="F442" s="9">
        <v>1</v>
      </c>
      <c r="G442" s="11">
        <f>189.00288*E442*F442</f>
        <v>189.00288</v>
      </c>
      <c r="H442" s="11">
        <f>0*E442*F442</f>
        <v>0</v>
      </c>
      <c r="I442" s="11">
        <f t="shared" si="54"/>
        <v>0</v>
      </c>
      <c r="J442" s="11">
        <f>189.38088576*E442*F442</f>
        <v>189.38088576</v>
      </c>
      <c r="K442" s="11">
        <f>66.217159008*E442*F442</f>
        <v>66.217159008</v>
      </c>
      <c r="L442" s="15">
        <f t="shared" si="57"/>
        <v>4.44600924768</v>
      </c>
      <c r="M442" s="13">
        <f t="shared" si="53"/>
        <v>444.600924768</v>
      </c>
    </row>
    <row r="443" spans="2:13" ht="25.5" thickBot="1" thickTop="1">
      <c r="B443" s="7">
        <v>437</v>
      </c>
      <c r="C443" s="5" t="s">
        <v>615</v>
      </c>
      <c r="D443" s="5" t="s">
        <v>44</v>
      </c>
      <c r="E443" s="9">
        <v>1</v>
      </c>
      <c r="F443" s="9">
        <v>1</v>
      </c>
      <c r="G443" s="11">
        <f>217.353312*E443*F443</f>
        <v>217.353312</v>
      </c>
      <c r="H443" s="11">
        <f>0*E443*F443</f>
        <v>0</v>
      </c>
      <c r="I443" s="11">
        <f t="shared" si="54"/>
        <v>0</v>
      </c>
      <c r="J443" s="11">
        <f>217.788018624*E443*F443</f>
        <v>217.788018624</v>
      </c>
      <c r="K443" s="11">
        <f>76.1497328592*E443*F443</f>
        <v>76.1497328592</v>
      </c>
      <c r="L443" s="15">
        <f t="shared" si="57"/>
        <v>5.112910634832</v>
      </c>
      <c r="M443" s="13">
        <f t="shared" si="53"/>
        <v>511.2910634832</v>
      </c>
    </row>
    <row r="444" spans="2:13" ht="25.5" thickBot="1" thickTop="1">
      <c r="B444" s="7">
        <v>438</v>
      </c>
      <c r="C444" s="5" t="s">
        <v>616</v>
      </c>
      <c r="D444" s="5" t="s">
        <v>44</v>
      </c>
      <c r="E444" s="9">
        <v>1</v>
      </c>
      <c r="F444" s="9">
        <v>1</v>
      </c>
      <c r="G444" s="11">
        <f>40.163112*E444*F444</f>
        <v>40.163112</v>
      </c>
      <c r="H444" s="11">
        <f>0.22974842304*E444*F444</f>
        <v>0.22974842304</v>
      </c>
      <c r="I444" s="11">
        <f t="shared" si="54"/>
        <v>0</v>
      </c>
      <c r="J444" s="11">
        <f>40.243438224*E444*F444</f>
        <v>40.243438224</v>
      </c>
      <c r="K444" s="11">
        <f>14.111352263232*E444*F444</f>
        <v>14.111352263232</v>
      </c>
      <c r="L444" s="15">
        <f t="shared" si="57"/>
        <v>0.94747650910272</v>
      </c>
      <c r="M444" s="13">
        <f t="shared" si="53"/>
        <v>94.747650910272</v>
      </c>
    </row>
    <row r="445" spans="2:13" ht="25.5" thickBot="1" thickTop="1">
      <c r="B445" s="7">
        <v>439</v>
      </c>
      <c r="C445" s="5" t="s">
        <v>617</v>
      </c>
      <c r="D445" s="5" t="s">
        <v>618</v>
      </c>
      <c r="E445" s="9">
        <v>1</v>
      </c>
      <c r="F445" s="9">
        <v>1</v>
      </c>
      <c r="G445" s="11">
        <f>82.3737552*E445*F445</f>
        <v>82.3737552</v>
      </c>
      <c r="H445" s="11">
        <f>0.192494808*E445*F445</f>
        <v>0.192494808</v>
      </c>
      <c r="I445" s="11">
        <f t="shared" si="54"/>
        <v>0</v>
      </c>
      <c r="J445" s="11">
        <f>82.5385027104*E445*F445</f>
        <v>82.5385027104</v>
      </c>
      <c r="K445" s="11">
        <f>28.89333172572*E445*F445</f>
        <v>28.89333172572</v>
      </c>
      <c r="L445" s="15">
        <f>M445/F445/E445</f>
        <v>193.99808444412</v>
      </c>
      <c r="M445" s="13">
        <f t="shared" si="53"/>
        <v>193.99808444412</v>
      </c>
    </row>
    <row r="446" spans="2:13" ht="13.5" thickBot="1" thickTop="1">
      <c r="B446" s="7">
        <v>440</v>
      </c>
      <c r="C446" s="5" t="s">
        <v>619</v>
      </c>
      <c r="D446" s="5" t="s">
        <v>44</v>
      </c>
      <c r="E446" s="9">
        <v>1</v>
      </c>
      <c r="F446" s="9">
        <v>1</v>
      </c>
      <c r="G446" s="11">
        <f>945.0144*E446*F446</f>
        <v>945.0144</v>
      </c>
      <c r="H446" s="11">
        <f>0*E446*F446</f>
        <v>0</v>
      </c>
      <c r="I446" s="11">
        <f t="shared" si="54"/>
        <v>0</v>
      </c>
      <c r="J446" s="11">
        <f>946.9044288*E446*F446</f>
        <v>946.9044288</v>
      </c>
      <c r="K446" s="11">
        <f>331.08579504*E446*F446</f>
        <v>331.08579504</v>
      </c>
      <c r="L446" s="15">
        <f>M446/F446/E446/100</f>
        <v>22.2300462384</v>
      </c>
      <c r="M446" s="13">
        <f t="shared" si="53"/>
        <v>2223.00462384</v>
      </c>
    </row>
    <row r="447" spans="2:13" ht="13.5" thickBot="1" thickTop="1">
      <c r="B447" s="7">
        <v>441</v>
      </c>
      <c r="C447" s="5" t="s">
        <v>620</v>
      </c>
      <c r="D447" s="5" t="s">
        <v>550</v>
      </c>
      <c r="E447" s="9">
        <v>1</v>
      </c>
      <c r="F447" s="9">
        <v>1</v>
      </c>
      <c r="G447" s="11">
        <f>382.730832*E447*F447</f>
        <v>382.730832</v>
      </c>
      <c r="H447" s="11">
        <f>2.199718944*E447*F447</f>
        <v>2.199718944</v>
      </c>
      <c r="I447" s="11">
        <f t="shared" si="54"/>
        <v>0</v>
      </c>
      <c r="J447" s="11">
        <f>383.496293664*E447*F447</f>
        <v>383.496293664</v>
      </c>
      <c r="K447" s="11">
        <f>134.4746978064*E447*F447</f>
        <v>134.4746978064</v>
      </c>
      <c r="L447" s="15">
        <f>M447/F447/E447/100</f>
        <v>9.029015424144</v>
      </c>
      <c r="M447" s="13">
        <f t="shared" si="53"/>
        <v>902.9015424144</v>
      </c>
    </row>
    <row r="448" spans="2:13" ht="13.5" thickBot="1" thickTop="1">
      <c r="B448" s="7">
        <v>442</v>
      </c>
      <c r="C448" s="5" t="s">
        <v>621</v>
      </c>
      <c r="D448" s="5" t="s">
        <v>622</v>
      </c>
      <c r="E448" s="9">
        <v>1</v>
      </c>
      <c r="F448" s="9">
        <v>1</v>
      </c>
      <c r="G448" s="11">
        <f>12285.1872*E448*F448</f>
        <v>12285.1872</v>
      </c>
      <c r="H448" s="11">
        <f>0*E448*F448</f>
        <v>0</v>
      </c>
      <c r="I448" s="11">
        <f t="shared" si="54"/>
        <v>0</v>
      </c>
      <c r="J448" s="11">
        <f>12309.7575744*E448*F448</f>
        <v>12309.7575744</v>
      </c>
      <c r="K448" s="11">
        <f>4304.11533552*E448*F448</f>
        <v>4304.11533552</v>
      </c>
      <c r="L448" s="15">
        <f>M448/F448/E448/100</f>
        <v>288.9906010992</v>
      </c>
      <c r="M448" s="13">
        <f t="shared" si="53"/>
        <v>28899.06010992</v>
      </c>
    </row>
    <row r="449" spans="2:13" ht="13.5" thickBot="1" thickTop="1">
      <c r="B449" s="7">
        <v>443</v>
      </c>
      <c r="C449" s="5" t="s">
        <v>623</v>
      </c>
      <c r="D449" s="5" t="s">
        <v>624</v>
      </c>
      <c r="E449" s="9">
        <v>1</v>
      </c>
      <c r="F449" s="9">
        <v>1</v>
      </c>
      <c r="G449" s="11">
        <f>48.581676*E449*F449</f>
        <v>48.581676</v>
      </c>
      <c r="H449" s="11">
        <f>0*E449*F449</f>
        <v>0</v>
      </c>
      <c r="I449" s="11">
        <f t="shared" si="54"/>
        <v>0</v>
      </c>
      <c r="J449" s="11">
        <f>48.678839352*E449*F449</f>
        <v>48.678839352</v>
      </c>
      <c r="K449" s="11">
        <f>17.0205901866*E449*F449</f>
        <v>17.0205901866</v>
      </c>
      <c r="L449" s="15">
        <f>M449/F449/E449</f>
        <v>114.2811055386</v>
      </c>
      <c r="M449" s="13">
        <f t="shared" si="53"/>
        <v>114.2811055386</v>
      </c>
    </row>
    <row r="450" spans="2:13" ht="13.5" thickBot="1" thickTop="1">
      <c r="B450" s="7">
        <v>444</v>
      </c>
      <c r="C450" s="5" t="s">
        <v>625</v>
      </c>
      <c r="D450" s="5" t="s">
        <v>220</v>
      </c>
      <c r="E450" s="9">
        <v>1</v>
      </c>
      <c r="F450" s="9">
        <v>1</v>
      </c>
      <c r="G450" s="11">
        <f>56.384064*E450*F450</f>
        <v>56.384064</v>
      </c>
      <c r="H450" s="11">
        <f>223.66763388*E450*F450</f>
        <v>223.66763388</v>
      </c>
      <c r="I450" s="11">
        <f t="shared" si="54"/>
        <v>0</v>
      </c>
      <c r="J450" s="11">
        <f>56.496832128*E450*F450</f>
        <v>56.496832128</v>
      </c>
      <c r="K450" s="11">
        <f>58.8959927514*E450*F450</f>
        <v>58.8959927514</v>
      </c>
      <c r="L450" s="15">
        <f>M450/F450/E450</f>
        <v>395.4445227594</v>
      </c>
      <c r="M450" s="13">
        <f t="shared" si="53"/>
        <v>395.4445227594</v>
      </c>
    </row>
    <row r="451" spans="2:13" ht="13.5" thickBot="1" thickTop="1">
      <c r="B451" s="7">
        <v>445</v>
      </c>
      <c r="C451" s="5" t="s">
        <v>626</v>
      </c>
      <c r="D451" s="5" t="s">
        <v>220</v>
      </c>
      <c r="E451" s="9">
        <v>1</v>
      </c>
      <c r="F451" s="9">
        <v>1</v>
      </c>
      <c r="G451" s="11">
        <f>40.3231488*E451*F451</f>
        <v>40.3231488</v>
      </c>
      <c r="H451" s="11">
        <f>4.80013572024*E451*F451</f>
        <v>4.80013572024</v>
      </c>
      <c r="I451" s="11">
        <f t="shared" si="54"/>
        <v>0</v>
      </c>
      <c r="J451" s="11">
        <f>40.4037950976*E451*F451</f>
        <v>40.4037950976</v>
      </c>
      <c r="K451" s="11">
        <f>14.967238933122*E451*F451</f>
        <v>14.967238933122</v>
      </c>
      <c r="L451" s="15">
        <f>M451/F451/E451</f>
        <v>100.494318550962</v>
      </c>
      <c r="M451" s="13">
        <f t="shared" si="53"/>
        <v>100.494318550962</v>
      </c>
    </row>
    <row r="452" spans="2:13" ht="25.5" thickBot="1" thickTop="1">
      <c r="B452" s="7">
        <v>446</v>
      </c>
      <c r="C452" s="5" t="s">
        <v>627</v>
      </c>
      <c r="D452" s="5" t="s">
        <v>628</v>
      </c>
      <c r="E452" s="9">
        <v>1</v>
      </c>
      <c r="F452" s="9">
        <v>1</v>
      </c>
      <c r="G452" s="11">
        <f>33.78295008*E452*F452</f>
        <v>33.78295008</v>
      </c>
      <c r="H452" s="11">
        <f>56.732366952*E452*F452</f>
        <v>56.732366952</v>
      </c>
      <c r="I452" s="11">
        <f t="shared" si="54"/>
        <v>0</v>
      </c>
      <c r="J452" s="11">
        <f>33.85051598016*E452*F452</f>
        <v>33.85051598016</v>
      </c>
      <c r="K452" s="11">
        <f>21.764020777128*E452*F452</f>
        <v>21.764020777128</v>
      </c>
      <c r="L452" s="15">
        <f>M452/F452/E452</f>
        <v>146.129853789288</v>
      </c>
      <c r="M452" s="13">
        <f t="shared" si="53"/>
        <v>146.129853789288</v>
      </c>
    </row>
    <row r="453" spans="2:13" ht="13.5" thickBot="1" thickTop="1">
      <c r="B453" s="7">
        <v>447</v>
      </c>
      <c r="C453" s="5" t="s">
        <v>629</v>
      </c>
      <c r="D453" s="5" t="s">
        <v>630</v>
      </c>
      <c r="E453" s="9">
        <v>1</v>
      </c>
      <c r="F453" s="9">
        <v>1</v>
      </c>
      <c r="G453" s="11">
        <f>371.3808*E453*F453</f>
        <v>371.3808</v>
      </c>
      <c r="H453" s="11">
        <f>3953.9178612*E453*F453</f>
        <v>3953.9178612</v>
      </c>
      <c r="I453" s="11">
        <f t="shared" si="54"/>
        <v>0</v>
      </c>
      <c r="J453" s="11">
        <f>372.1235616*E453*F453</f>
        <v>372.1235616</v>
      </c>
      <c r="K453" s="11">
        <f>822.04888899*E453*F453</f>
        <v>822.04888899</v>
      </c>
      <c r="L453" s="15">
        <f>M453/F453/E453</f>
        <v>5519.471111790001</v>
      </c>
      <c r="M453" s="13">
        <f t="shared" si="53"/>
        <v>5519.471111790001</v>
      </c>
    </row>
    <row r="454" spans="2:13" ht="13.5" thickBot="1" thickTop="1">
      <c r="B454" s="7">
        <v>448</v>
      </c>
      <c r="C454" s="5" t="s">
        <v>631</v>
      </c>
      <c r="D454" s="5" t="s">
        <v>64</v>
      </c>
      <c r="E454" s="9">
        <v>1</v>
      </c>
      <c r="F454" s="9">
        <v>1</v>
      </c>
      <c r="G454" s="11">
        <f>18221.66346*E454*F454</f>
        <v>18221.66346</v>
      </c>
      <c r="H454" s="11">
        <f>54759.942972*E454*F454</f>
        <v>54759.942972</v>
      </c>
      <c r="I454" s="11">
        <f>3678.761424*E454*F454</f>
        <v>3678.761424</v>
      </c>
      <c r="J454" s="11">
        <f>19809.194754888*E454*F454</f>
        <v>19809.194754888</v>
      </c>
      <c r="K454" s="11">
        <f>16882.173456905*E454*F454</f>
        <v>16882.173456905</v>
      </c>
      <c r="L454" s="15">
        <f>M454/F454/E454/100</f>
        <v>1133.51736067793</v>
      </c>
      <c r="M454" s="13">
        <f t="shared" si="53"/>
        <v>113351.736067793</v>
      </c>
    </row>
    <row r="455" spans="2:13" ht="13.5" thickBot="1" thickTop="1">
      <c r="B455" s="7">
        <v>449</v>
      </c>
      <c r="C455" s="5" t="s">
        <v>632</v>
      </c>
      <c r="D455" s="5" t="s">
        <v>633</v>
      </c>
      <c r="E455" s="9">
        <v>1</v>
      </c>
      <c r="F455" s="9">
        <v>1</v>
      </c>
      <c r="G455" s="11">
        <f>2020.26924*E455*F455</f>
        <v>2020.26924</v>
      </c>
      <c r="H455" s="11">
        <f>7496.33889312*E455*F455</f>
        <v>7496.33889312</v>
      </c>
      <c r="I455" s="11">
        <f>321.142848*E455*F455</f>
        <v>321.142848</v>
      </c>
      <c r="J455" s="11">
        <f>2150.313987888*E455*F455</f>
        <v>2150.313987888</v>
      </c>
      <c r="K455" s="11">
        <f>2097.9113695764*E455*F455</f>
        <v>2097.9113695764</v>
      </c>
      <c r="L455" s="15">
        <f>M455/F455/E455/10</f>
        <v>1408.5976338584398</v>
      </c>
      <c r="M455" s="13">
        <f t="shared" si="53"/>
        <v>14085.976338584398</v>
      </c>
    </row>
    <row r="456" spans="2:13" ht="13.5" thickBot="1" thickTop="1">
      <c r="B456" s="7">
        <v>450</v>
      </c>
      <c r="C456" s="5" t="s">
        <v>634</v>
      </c>
      <c r="D456" s="5" t="s">
        <v>635</v>
      </c>
      <c r="E456" s="9">
        <v>1</v>
      </c>
      <c r="F456" s="9">
        <v>1</v>
      </c>
      <c r="G456" s="11">
        <f>1376.181576*E456*F456</f>
        <v>1376.181576</v>
      </c>
      <c r="H456" s="11">
        <f>60.7288824*E456*F456</f>
        <v>60.7288824</v>
      </c>
      <c r="I456" s="11">
        <f>452.976498*E456*F456</f>
        <v>452.976498</v>
      </c>
      <c r="J456" s="11">
        <f>1556.689877424*E456*F456</f>
        <v>1556.689877424</v>
      </c>
      <c r="K456" s="11">
        <f>603.1509459192*E456*F456</f>
        <v>603.1509459192</v>
      </c>
      <c r="L456" s="15">
        <f>M456/F456/E456/10</f>
        <v>404.97277797431997</v>
      </c>
      <c r="M456" s="13">
        <f t="shared" si="53"/>
        <v>4049.7277797432</v>
      </c>
    </row>
    <row r="457" spans="2:13" ht="13.5" thickBot="1" thickTop="1">
      <c r="B457" s="7">
        <v>451</v>
      </c>
      <c r="C457" s="5" t="s">
        <v>636</v>
      </c>
      <c r="D457" s="5" t="s">
        <v>64</v>
      </c>
      <c r="E457" s="9">
        <v>1</v>
      </c>
      <c r="F457" s="9">
        <v>1</v>
      </c>
      <c r="G457" s="11">
        <f>1428.7101708*E457*F457</f>
        <v>1428.7101708</v>
      </c>
      <c r="H457" s="11">
        <f>1012.33536912*E457*F457</f>
        <v>1012.33536912</v>
      </c>
      <c r="I457" s="11">
        <f aca="true" t="shared" si="58" ref="I457:I472">0*E457*F457</f>
        <v>0</v>
      </c>
      <c r="J457" s="11">
        <f>1431.5675911416*E457*F457</f>
        <v>1431.5675911416</v>
      </c>
      <c r="K457" s="11">
        <f>677.70729793578*E457*F457</f>
        <v>677.70729793578</v>
      </c>
      <c r="L457" s="15">
        <f>M457/F457/E457/100</f>
        <v>45.5032042899738</v>
      </c>
      <c r="M457" s="13">
        <f t="shared" si="53"/>
        <v>4550.32042899738</v>
      </c>
    </row>
    <row r="458" spans="2:13" ht="13.5" thickBot="1" thickTop="1">
      <c r="B458" s="7">
        <v>452</v>
      </c>
      <c r="C458" s="5" t="s">
        <v>637</v>
      </c>
      <c r="D458" s="5" t="s">
        <v>64</v>
      </c>
      <c r="E458" s="9">
        <v>1</v>
      </c>
      <c r="F458" s="9">
        <v>1</v>
      </c>
      <c r="G458" s="11">
        <f>31973.5648*E458*F458</f>
        <v>31973.5648</v>
      </c>
      <c r="H458" s="11">
        <f>395391.78612*E458*F458</f>
        <v>395391.78612</v>
      </c>
      <c r="I458" s="11">
        <f t="shared" si="58"/>
        <v>0</v>
      </c>
      <c r="J458" s="11">
        <f>32037.5119296*E458*F458</f>
        <v>32037.5119296</v>
      </c>
      <c r="K458" s="11">
        <f>80395.50099868*E458*F458</f>
        <v>80395.50099868</v>
      </c>
      <c r="L458" s="15">
        <f>M458/F458/E458/100</f>
        <v>5397.9836384827995</v>
      </c>
      <c r="M458" s="13">
        <f aca="true" t="shared" si="59" ref="M458:M472">SUM(G458:K458)</f>
        <v>539798.3638482799</v>
      </c>
    </row>
    <row r="459" spans="2:13" ht="13.5" thickBot="1" thickTop="1">
      <c r="B459" s="7">
        <v>453</v>
      </c>
      <c r="C459" s="5" t="s">
        <v>638</v>
      </c>
      <c r="D459" s="5" t="s">
        <v>564</v>
      </c>
      <c r="E459" s="9">
        <v>1</v>
      </c>
      <c r="F459" s="9">
        <v>1</v>
      </c>
      <c r="G459" s="11">
        <f>620.350632*E459*F459</f>
        <v>620.350632</v>
      </c>
      <c r="H459" s="11">
        <f>6072.17832*E459*F459</f>
        <v>6072.17832</v>
      </c>
      <c r="I459" s="11">
        <f t="shared" si="58"/>
        <v>0</v>
      </c>
      <c r="J459" s="11">
        <f>621.591333264*E459*F459</f>
        <v>621.591333264</v>
      </c>
      <c r="K459" s="11">
        <f>1279.9710499212*E459*F459</f>
        <v>1279.9710499212</v>
      </c>
      <c r="L459" s="15">
        <f aca="true" t="shared" si="60" ref="L459:L471">M459/F459/E459</f>
        <v>8594.0913351852</v>
      </c>
      <c r="M459" s="13">
        <f t="shared" si="59"/>
        <v>8594.0913351852</v>
      </c>
    </row>
    <row r="460" spans="2:13" ht="13.5" thickBot="1" thickTop="1">
      <c r="B460" s="7">
        <v>454</v>
      </c>
      <c r="C460" s="5" t="s">
        <v>639</v>
      </c>
      <c r="D460" s="5" t="s">
        <v>564</v>
      </c>
      <c r="E460" s="9">
        <v>1</v>
      </c>
      <c r="F460" s="9">
        <v>1</v>
      </c>
      <c r="G460" s="11">
        <f>620.350632*E460*F460</f>
        <v>620.350632</v>
      </c>
      <c r="H460" s="11">
        <f>8979.06816*E460*F460</f>
        <v>8979.06816</v>
      </c>
      <c r="I460" s="11">
        <f t="shared" si="58"/>
        <v>0</v>
      </c>
      <c r="J460" s="11">
        <f>621.591333264*E460*F460</f>
        <v>621.591333264</v>
      </c>
      <c r="K460" s="11">
        <f>1788.6767719212*E460*F460</f>
        <v>1788.6767719212</v>
      </c>
      <c r="L460" s="15">
        <f t="shared" si="60"/>
        <v>12009.6868971852</v>
      </c>
      <c r="M460" s="13">
        <f t="shared" si="59"/>
        <v>12009.6868971852</v>
      </c>
    </row>
    <row r="461" spans="2:13" ht="13.5" thickBot="1" thickTop="1">
      <c r="B461" s="7">
        <v>455</v>
      </c>
      <c r="C461" s="5" t="s">
        <v>640</v>
      </c>
      <c r="D461" s="5" t="s">
        <v>564</v>
      </c>
      <c r="E461" s="9">
        <v>1</v>
      </c>
      <c r="F461" s="9">
        <v>1</v>
      </c>
      <c r="G461" s="11">
        <f>620.350632*E461*F461</f>
        <v>620.350632</v>
      </c>
      <c r="H461" s="11">
        <f>13524.18408*E461*F461</f>
        <v>13524.18408</v>
      </c>
      <c r="I461" s="11">
        <f t="shared" si="58"/>
        <v>0</v>
      </c>
      <c r="J461" s="11">
        <f>621.591333264*E461*F461</f>
        <v>621.591333264</v>
      </c>
      <c r="K461" s="11">
        <f>2584.0720579212*E461*F461</f>
        <v>2584.0720579212</v>
      </c>
      <c r="L461" s="15">
        <f t="shared" si="60"/>
        <v>17350.1981031852</v>
      </c>
      <c r="M461" s="13">
        <f t="shared" si="59"/>
        <v>17350.1981031852</v>
      </c>
    </row>
    <row r="462" spans="2:13" ht="13.5" thickBot="1" thickTop="1">
      <c r="B462" s="7">
        <v>456</v>
      </c>
      <c r="C462" s="5" t="s">
        <v>641</v>
      </c>
      <c r="D462" s="5" t="s">
        <v>568</v>
      </c>
      <c r="E462" s="9">
        <v>1</v>
      </c>
      <c r="F462" s="9">
        <v>1</v>
      </c>
      <c r="G462" s="11">
        <f>889.418376*E462*F462</f>
        <v>889.418376</v>
      </c>
      <c r="H462" s="11">
        <f>17829.428967706*E462*F462</f>
        <v>17829.428967706</v>
      </c>
      <c r="I462" s="11">
        <f t="shared" si="58"/>
        <v>0</v>
      </c>
      <c r="J462" s="11">
        <f>891.197212752*E462*F462</f>
        <v>891.197212752</v>
      </c>
      <c r="K462" s="11">
        <f>3431.7577973801*E462*F462</f>
        <v>3431.7577973801</v>
      </c>
      <c r="L462" s="15">
        <f t="shared" si="60"/>
        <v>23041.802353838102</v>
      </c>
      <c r="M462" s="13">
        <f t="shared" si="59"/>
        <v>23041.802353838102</v>
      </c>
    </row>
    <row r="463" spans="2:13" ht="13.5" thickBot="1" thickTop="1">
      <c r="B463" s="7">
        <v>457</v>
      </c>
      <c r="C463" s="5" t="s">
        <v>642</v>
      </c>
      <c r="D463" s="5" t="s">
        <v>568</v>
      </c>
      <c r="E463" s="9">
        <v>1</v>
      </c>
      <c r="F463" s="9">
        <v>1</v>
      </c>
      <c r="G463" s="11">
        <f>1578.90447*E463*F463</f>
        <v>1578.90447</v>
      </c>
      <c r="H463" s="11">
        <f>30432.846561926*E463*F463</f>
        <v>30432.846561926</v>
      </c>
      <c r="I463" s="11">
        <f t="shared" si="58"/>
        <v>0</v>
      </c>
      <c r="J463" s="11">
        <f>1582.06227894*E463*F463</f>
        <v>1582.06227894</v>
      </c>
      <c r="K463" s="11">
        <f>5878.9173294016*E463*F463</f>
        <v>5878.9173294016</v>
      </c>
      <c r="L463" s="15">
        <f t="shared" si="60"/>
        <v>39472.7306402676</v>
      </c>
      <c r="M463" s="13">
        <f t="shared" si="59"/>
        <v>39472.7306402676</v>
      </c>
    </row>
    <row r="464" spans="2:13" ht="13.5" thickBot="1" thickTop="1">
      <c r="B464" s="7">
        <v>458</v>
      </c>
      <c r="C464" s="5" t="s">
        <v>643</v>
      </c>
      <c r="D464" s="5" t="s">
        <v>571</v>
      </c>
      <c r="E464" s="9">
        <v>1</v>
      </c>
      <c r="F464" s="9">
        <v>1</v>
      </c>
      <c r="G464" s="11">
        <f>1658.4246228*E464*F464</f>
        <v>1658.4246228</v>
      </c>
      <c r="H464" s="11">
        <f>2658.368356106*E464*F464</f>
        <v>2658.368356106</v>
      </c>
      <c r="I464" s="11">
        <f t="shared" si="58"/>
        <v>0</v>
      </c>
      <c r="J464" s="11">
        <f>1661.7414720456*E464*F464</f>
        <v>1661.7414720456</v>
      </c>
      <c r="K464" s="11">
        <f>1046.2435289165*E464*F464</f>
        <v>1046.2435289165</v>
      </c>
      <c r="L464" s="15">
        <f t="shared" si="60"/>
        <v>7024.7779798681</v>
      </c>
      <c r="M464" s="13">
        <f t="shared" si="59"/>
        <v>7024.7779798681</v>
      </c>
    </row>
    <row r="465" spans="2:13" ht="13.5" thickBot="1" thickTop="1">
      <c r="B465" s="7">
        <v>459</v>
      </c>
      <c r="C465" s="5" t="s">
        <v>644</v>
      </c>
      <c r="D465" s="5" t="s">
        <v>573</v>
      </c>
      <c r="E465" s="9">
        <v>1</v>
      </c>
      <c r="F465" s="9">
        <v>1</v>
      </c>
      <c r="G465" s="11">
        <f>1319.780088*E465*F465</f>
        <v>1319.780088</v>
      </c>
      <c r="H465" s="11">
        <f>31544.242805779*E465*F465</f>
        <v>31544.242805779</v>
      </c>
      <c r="I465" s="11">
        <f t="shared" si="58"/>
        <v>0</v>
      </c>
      <c r="J465" s="11">
        <f>1322.419648176*E465*F465</f>
        <v>1322.419648176</v>
      </c>
      <c r="K465" s="11">
        <f>5982.6274448422*E465*F465</f>
        <v>5982.6274448422</v>
      </c>
      <c r="L465" s="15">
        <f t="shared" si="60"/>
        <v>40169.0699867972</v>
      </c>
      <c r="M465" s="13">
        <f t="shared" si="59"/>
        <v>40169.0699867972</v>
      </c>
    </row>
    <row r="466" spans="2:13" ht="13.5" thickBot="1" thickTop="1">
      <c r="B466" s="7">
        <v>460</v>
      </c>
      <c r="C466" s="5" t="s">
        <v>645</v>
      </c>
      <c r="D466" s="5" t="s">
        <v>575</v>
      </c>
      <c r="E466" s="9">
        <v>1</v>
      </c>
      <c r="F466" s="9">
        <v>1</v>
      </c>
      <c r="G466" s="11">
        <f>879.853392*E466*F466</f>
        <v>879.853392</v>
      </c>
      <c r="H466" s="11">
        <f>11243.26066752*E466*F466</f>
        <v>11243.26066752</v>
      </c>
      <c r="I466" s="11">
        <f t="shared" si="58"/>
        <v>0</v>
      </c>
      <c r="J466" s="11">
        <f>881.613098784*E466*F466</f>
        <v>881.613098784</v>
      </c>
      <c r="K466" s="11">
        <f>2275.8272527032*E466*F466</f>
        <v>2275.8272527032</v>
      </c>
      <c r="L466" s="15">
        <f t="shared" si="60"/>
        <v>15280.554411007202</v>
      </c>
      <c r="M466" s="13">
        <f t="shared" si="59"/>
        <v>15280.554411007202</v>
      </c>
    </row>
    <row r="467" spans="2:13" ht="13.5" thickBot="1" thickTop="1">
      <c r="B467" s="7">
        <v>461</v>
      </c>
      <c r="C467" s="5" t="s">
        <v>646</v>
      </c>
      <c r="D467" s="5" t="s">
        <v>577</v>
      </c>
      <c r="E467" s="9">
        <v>1</v>
      </c>
      <c r="F467" s="9">
        <v>1</v>
      </c>
      <c r="G467" s="11">
        <f>879.853392*E467*F467</f>
        <v>879.853392</v>
      </c>
      <c r="H467" s="11">
        <f>10798.94866752*E467*F467</f>
        <v>10798.94866752</v>
      </c>
      <c r="I467" s="11">
        <f t="shared" si="58"/>
        <v>0</v>
      </c>
      <c r="J467" s="11">
        <f>881.613098784*E467*F467</f>
        <v>881.613098784</v>
      </c>
      <c r="K467" s="11">
        <f>2198.0726527032*E467*F467</f>
        <v>2198.0726527032</v>
      </c>
      <c r="L467" s="15">
        <f t="shared" si="60"/>
        <v>14758.4878110072</v>
      </c>
      <c r="M467" s="13">
        <f t="shared" si="59"/>
        <v>14758.4878110072</v>
      </c>
    </row>
    <row r="468" spans="2:13" ht="25.5" thickBot="1" thickTop="1">
      <c r="B468" s="7">
        <v>462</v>
      </c>
      <c r="C468" s="5" t="s">
        <v>647</v>
      </c>
      <c r="D468" s="5" t="s">
        <v>582</v>
      </c>
      <c r="E468" s="9">
        <v>1</v>
      </c>
      <c r="F468" s="9">
        <v>1</v>
      </c>
      <c r="G468" s="11">
        <f>395.0301696*E468*F468</f>
        <v>395.0301696</v>
      </c>
      <c r="H468" s="11">
        <f>1748.4681558096*E468*F468</f>
        <v>1748.4681558096</v>
      </c>
      <c r="I468" s="11">
        <f t="shared" si="58"/>
        <v>0</v>
      </c>
      <c r="J468" s="11">
        <f>395.8202299392*E468*F468</f>
        <v>395.8202299392</v>
      </c>
      <c r="K468" s="11">
        <f>444.38074718604*E468*F468</f>
        <v>444.38074718604</v>
      </c>
      <c r="L468" s="15">
        <f t="shared" si="60"/>
        <v>2983.69930253484</v>
      </c>
      <c r="M468" s="13">
        <f t="shared" si="59"/>
        <v>2983.69930253484</v>
      </c>
    </row>
    <row r="469" spans="2:13" ht="13.5" thickBot="1" thickTop="1">
      <c r="B469" s="7">
        <v>463</v>
      </c>
      <c r="C469" s="5" t="s">
        <v>648</v>
      </c>
      <c r="D469" s="5" t="s">
        <v>582</v>
      </c>
      <c r="E469" s="9">
        <v>1</v>
      </c>
      <c r="F469" s="9">
        <v>1</v>
      </c>
      <c r="G469" s="11">
        <f>454.77222912*E469*F469</f>
        <v>454.77222912</v>
      </c>
      <c r="H469" s="11">
        <f>236.03250197808*E469*F469</f>
        <v>236.03250197808</v>
      </c>
      <c r="I469" s="11">
        <f t="shared" si="58"/>
        <v>0</v>
      </c>
      <c r="J469" s="11">
        <f>455.68177357824*E469*F469</f>
        <v>455.68177357824</v>
      </c>
      <c r="K469" s="11">
        <f>200.63513831836*E469*F469</f>
        <v>200.63513831836</v>
      </c>
      <c r="L469" s="15">
        <f t="shared" si="60"/>
        <v>1347.12164299468</v>
      </c>
      <c r="M469" s="13">
        <f t="shared" si="59"/>
        <v>1347.12164299468</v>
      </c>
    </row>
    <row r="470" spans="2:13" ht="13.5" thickBot="1" thickTop="1">
      <c r="B470" s="7">
        <v>464</v>
      </c>
      <c r="C470" s="5" t="s">
        <v>649</v>
      </c>
      <c r="D470" s="5" t="s">
        <v>650</v>
      </c>
      <c r="E470" s="9">
        <v>1</v>
      </c>
      <c r="F470" s="9">
        <v>1</v>
      </c>
      <c r="G470" s="11">
        <f>236.561728*E470*F470</f>
        <v>236.561728</v>
      </c>
      <c r="H470" s="11">
        <f>949.29355512*E470*F470</f>
        <v>949.29355512</v>
      </c>
      <c r="I470" s="11">
        <f t="shared" si="58"/>
        <v>0</v>
      </c>
      <c r="J470" s="11">
        <f>237.034851456*E470*F470</f>
        <v>237.034851456</v>
      </c>
      <c r="K470" s="11">
        <f>249.0057735508*E470*F470</f>
        <v>249.0057735508</v>
      </c>
      <c r="L470" s="15">
        <f t="shared" si="60"/>
        <v>1671.8959081268001</v>
      </c>
      <c r="M470" s="13">
        <f t="shared" si="59"/>
        <v>1671.8959081268001</v>
      </c>
    </row>
    <row r="471" spans="2:13" ht="13.5" thickBot="1" thickTop="1">
      <c r="B471" s="7">
        <v>465</v>
      </c>
      <c r="C471" s="5" t="s">
        <v>651</v>
      </c>
      <c r="D471" s="5" t="s">
        <v>650</v>
      </c>
      <c r="E471" s="9">
        <v>1</v>
      </c>
      <c r="F471" s="9">
        <v>1</v>
      </c>
      <c r="G471" s="11">
        <f>408.389808*E471*F471</f>
        <v>408.389808</v>
      </c>
      <c r="H471" s="11">
        <f>3764.38339512*E471*F471</f>
        <v>3764.38339512</v>
      </c>
      <c r="I471" s="11">
        <f t="shared" si="58"/>
        <v>0</v>
      </c>
      <c r="J471" s="11">
        <f>409.206587616*E471*F471</f>
        <v>409.206587616</v>
      </c>
      <c r="K471" s="11">
        <f>801.8464633788*E471*F471</f>
        <v>801.8464633788</v>
      </c>
      <c r="L471" s="15">
        <f t="shared" si="60"/>
        <v>5383.826254114801</v>
      </c>
      <c r="M471" s="13">
        <f t="shared" si="59"/>
        <v>5383.826254114801</v>
      </c>
    </row>
    <row r="472" spans="2:13" ht="24.75" thickTop="1">
      <c r="B472" s="7">
        <v>466</v>
      </c>
      <c r="C472" s="5" t="s">
        <v>652</v>
      </c>
      <c r="D472" s="5" t="s">
        <v>653</v>
      </c>
      <c r="E472" s="9">
        <v>1</v>
      </c>
      <c r="F472" s="9">
        <v>1</v>
      </c>
      <c r="G472" s="11">
        <f>2242.2312*E472*F472</f>
        <v>2242.2312</v>
      </c>
      <c r="H472" s="11">
        <f>19155.4447968*E472*F472</f>
        <v>19155.4447968</v>
      </c>
      <c r="I472" s="11">
        <f t="shared" si="58"/>
        <v>0</v>
      </c>
      <c r="J472" s="11">
        <f>2246.7156624*E472*F472</f>
        <v>2246.7156624</v>
      </c>
      <c r="K472" s="11">
        <f>4137.76854036*E472*F472</f>
        <v>4137.76854036</v>
      </c>
      <c r="L472" s="15">
        <f>M472/F472/E472/100</f>
        <v>277.82160199559996</v>
      </c>
      <c r="M472" s="13">
        <f t="shared" si="59"/>
        <v>27782.160199559996</v>
      </c>
    </row>
    <row r="474" ht="68.25" customHeight="1">
      <c r="C474" s="16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M2"/>
    <mergeCell ref="B361:M361"/>
    <mergeCell ref="B1:M1"/>
    <mergeCell ref="B4:M4"/>
    <mergeCell ref="B132:M132"/>
  </mergeCells>
  <printOptions/>
  <pageMargins left="0.35" right="0.35" top="0.35" bottom="0.35" header="0.3" footer="0.3"/>
  <pageSetup fitToHeight="0" fitToWidth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Пользователь</cp:lastModifiedBy>
  <dcterms:created xsi:type="dcterms:W3CDTF">2021-03-16T11:38:54Z</dcterms:created>
  <dcterms:modified xsi:type="dcterms:W3CDTF">2021-03-16T09:17:37Z</dcterms:modified>
  <cp:category>ÑÐ¼ÐµÑ‚Ð°</cp:category>
  <cp:version/>
  <cp:contentType/>
  <cp:contentStatus/>
</cp:coreProperties>
</file>